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esupuesto 2026\Listado de Proyectos en Proceso\LISTOS\Listado 5 proyectos para compra\2-REPARACIÓN DE PLAY DE BEISBOL LAS ENEAS, LA ISABELA\"/>
    </mc:Choice>
  </mc:AlternateContent>
  <xr:revisionPtr revIDLastSave="0" documentId="13_ncr:1_{2026F15A-2748-4CE4-8B54-82FF60B35E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riginal " sheetId="7" r:id="rId1"/>
  </sheets>
  <definedNames>
    <definedName name="_xlnm.Print_Area" localSheetId="0">'Presupuesto original '!$A$1:$G$375</definedName>
    <definedName name="_xlnm.Print_Titles" localSheetId="0">'Presupuesto original '!$7:$13</definedName>
    <definedName name="Z_63A32F7A_8322_4FCC_B535_75FE635B1BDF_.wvu.PrintArea" localSheetId="0" hidden="1">'Presupuesto original '!#REF!</definedName>
    <definedName name="Z_63A32F7A_8322_4FCC_B535_75FE635B1BDF_.wvu.PrintTitles" localSheetId="0" hidden="1">'Presupuesto original '!$7:$13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7" l="1"/>
  <c r="C141" i="7"/>
  <c r="C231" i="7" l="1"/>
  <c r="C236" i="7" l="1"/>
  <c r="C125" i="7"/>
  <c r="C123" i="7"/>
  <c r="C124" i="7"/>
  <c r="C168" i="7"/>
  <c r="C207" i="7"/>
  <c r="C206" i="7"/>
  <c r="C205" i="7"/>
  <c r="C204" i="7"/>
  <c r="C202" i="7"/>
  <c r="C199" i="7"/>
  <c r="C197" i="7"/>
  <c r="C198" i="7" s="1"/>
  <c r="A197" i="7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11" i="7" s="1"/>
  <c r="C194" i="7"/>
  <c r="C193" i="7"/>
  <c r="C192" i="7"/>
  <c r="C191" i="7"/>
  <c r="C190" i="7"/>
  <c r="C189" i="7"/>
  <c r="C187" i="7"/>
  <c r="C186" i="7"/>
  <c r="C185" i="7"/>
  <c r="C184" i="7"/>
  <c r="C183" i="7"/>
  <c r="C182" i="7"/>
  <c r="C181" i="7"/>
  <c r="C180" i="7"/>
  <c r="C179" i="7"/>
  <c r="C178" i="7"/>
  <c r="C177" i="7"/>
  <c r="C176" i="7"/>
  <c r="B176" i="7"/>
  <c r="C175" i="7"/>
  <c r="C174" i="7"/>
  <c r="C173" i="7"/>
  <c r="A172" i="7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C165" i="7"/>
  <c r="C159" i="7"/>
  <c r="C157" i="7"/>
  <c r="C155" i="7"/>
  <c r="C154" i="7"/>
  <c r="C153" i="7"/>
  <c r="C151" i="7"/>
  <c r="C150" i="7"/>
  <c r="C149" i="7"/>
  <c r="C148" i="7"/>
  <c r="C146" i="7"/>
  <c r="C145" i="7"/>
  <c r="C144" i="7"/>
  <c r="C143" i="7"/>
  <c r="C142" i="7"/>
  <c r="A141" i="7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C121" i="7"/>
  <c r="C120" i="7"/>
  <c r="C119" i="7"/>
  <c r="C113" i="7"/>
  <c r="C108" i="7"/>
  <c r="C107" i="7"/>
  <c r="C101" i="7"/>
  <c r="C100" i="7"/>
  <c r="C99" i="7"/>
  <c r="C98" i="7"/>
  <c r="C97" i="7"/>
  <c r="C95" i="7"/>
  <c r="C94" i="7"/>
  <c r="C91" i="7"/>
  <c r="C105" i="7" s="1"/>
  <c r="C88" i="7"/>
  <c r="C87" i="7"/>
  <c r="C86" i="7"/>
  <c r="C85" i="7"/>
  <c r="C84" i="7"/>
  <c r="C83" i="7"/>
  <c r="C79" i="7"/>
  <c r="C78" i="7"/>
  <c r="C77" i="7"/>
  <c r="C76" i="7"/>
  <c r="C75" i="7"/>
  <c r="C72" i="7"/>
  <c r="A71" i="7"/>
  <c r="A72" i="7" s="1"/>
  <c r="A74" i="7" s="1"/>
  <c r="A208" i="7" l="1"/>
  <c r="A209" i="7" s="1"/>
  <c r="A210" i="7" s="1"/>
  <c r="C126" i="7"/>
  <c r="C156" i="7"/>
  <c r="C96" i="7"/>
  <c r="C80" i="7"/>
  <c r="C102" i="7"/>
  <c r="A192" i="7"/>
  <c r="A193" i="7"/>
  <c r="A194" i="7" s="1"/>
  <c r="C147" i="7"/>
  <c r="A75" i="7"/>
  <c r="A76" i="7" s="1"/>
  <c r="A77" i="7" s="1"/>
  <c r="A78" i="7" s="1"/>
  <c r="A79" i="7" s="1"/>
  <c r="A80" i="7" s="1"/>
  <c r="A82" i="7"/>
  <c r="A83" i="7" s="1"/>
  <c r="A84" i="7" s="1"/>
  <c r="A85" i="7" s="1"/>
  <c r="A86" i="7" s="1"/>
  <c r="A87" i="7" s="1"/>
  <c r="A88" i="7" s="1"/>
  <c r="A90" i="7" s="1"/>
  <c r="A91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4" i="7" s="1"/>
  <c r="A105" i="7" s="1"/>
  <c r="A106" i="7" s="1"/>
  <c r="A107" i="7" s="1"/>
  <c r="A108" i="7" s="1"/>
  <c r="A110" i="7" s="1"/>
  <c r="A111" i="7" s="1"/>
  <c r="C106" i="7"/>
  <c r="C111" i="7" s="1"/>
  <c r="C158" i="7" l="1"/>
  <c r="A115" i="7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12" i="7"/>
  <c r="A113" i="7" s="1"/>
  <c r="A55" i="7" l="1"/>
  <c r="A56" i="7" s="1"/>
  <c r="A57" i="7" s="1"/>
  <c r="A58" i="7" s="1"/>
  <c r="A59" i="7" s="1"/>
  <c r="A60" i="7" s="1"/>
  <c r="A63" i="7" s="1"/>
  <c r="A64" i="7" s="1"/>
  <c r="A65" i="7" s="1"/>
  <c r="A66" i="7" s="1"/>
  <c r="A67" i="7" s="1"/>
  <c r="A68" i="7" s="1"/>
  <c r="A135" i="7" s="1"/>
  <c r="A136" i="7" s="1"/>
  <c r="A137" i="7" s="1"/>
  <c r="A138" i="7" s="1"/>
  <c r="A236" i="7" s="1"/>
  <c r="A237" i="7" s="1"/>
  <c r="A238" i="7" s="1"/>
  <c r="A241" i="7" s="1"/>
  <c r="A44" i="7"/>
  <c r="A45" i="7" s="1"/>
  <c r="A46" i="7" s="1"/>
  <c r="A47" i="7" s="1"/>
  <c r="A48" i="7" s="1"/>
  <c r="A49" i="7" s="1"/>
  <c r="A50" i="7" s="1"/>
  <c r="A51" i="7" s="1"/>
  <c r="C45" i="7"/>
  <c r="A36" i="7"/>
  <c r="A37" i="7" s="1"/>
  <c r="A38" i="7" s="1"/>
  <c r="A39" i="7" s="1"/>
  <c r="A40" i="7" s="1"/>
  <c r="A41" i="7" s="1"/>
  <c r="A22" i="7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15" i="7"/>
  <c r="A16" i="7" s="1"/>
  <c r="A17" i="7" s="1"/>
  <c r="A18" i="7" s="1"/>
  <c r="A19" i="7" s="1"/>
  <c r="A243" i="7" l="1"/>
  <c r="A244" i="7" s="1"/>
  <c r="A247" i="7" s="1"/>
  <c r="A248" i="7" s="1"/>
  <c r="A249" i="7" s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A307" i="7" s="1"/>
  <c r="A308" i="7" s="1"/>
  <c r="A309" i="7" s="1"/>
  <c r="A313" i="7" s="1"/>
  <c r="A314" i="7" s="1"/>
  <c r="A315" i="7" s="1"/>
  <c r="A316" i="7" s="1"/>
  <c r="A317" i="7" s="1"/>
  <c r="A318" i="7" s="1"/>
  <c r="A319" i="7" s="1"/>
  <c r="A320" i="7" s="1"/>
  <c r="A321" i="7" s="1"/>
  <c r="A322" i="7" s="1"/>
  <c r="A323" i="7" s="1"/>
  <c r="A324" i="7" s="1"/>
  <c r="A325" i="7" s="1"/>
  <c r="A326" i="7" s="1"/>
  <c r="A327" i="7" s="1"/>
  <c r="A328" i="7" s="1"/>
  <c r="A329" i="7" s="1"/>
  <c r="A330" i="7" s="1"/>
  <c r="A331" i="7" s="1"/>
  <c r="A332" i="7" s="1"/>
  <c r="A333" i="7" s="1"/>
  <c r="A334" i="7" s="1"/>
  <c r="A335" i="7" s="1"/>
  <c r="A336" i="7" s="1"/>
  <c r="A337" i="7" s="1"/>
  <c r="A338" i="7" s="1"/>
  <c r="A339" i="7" s="1"/>
  <c r="A340" i="7" s="1"/>
  <c r="A242" i="7"/>
  <c r="C46" i="7"/>
  <c r="C47" i="7" s="1"/>
  <c r="C238" i="7" l="1"/>
  <c r="C237" i="7"/>
  <c r="C152" i="7"/>
  <c r="C138" i="7"/>
  <c r="C137" i="7"/>
  <c r="C136" i="7"/>
  <c r="C135" i="7"/>
  <c r="C68" i="7"/>
  <c r="C67" i="7"/>
  <c r="C66" i="7"/>
  <c r="C65" i="7"/>
  <c r="C64" i="7"/>
  <c r="C63" i="7"/>
  <c r="C60" i="7"/>
  <c r="C59" i="7"/>
  <c r="C58" i="7"/>
  <c r="C57" i="7"/>
  <c r="C56" i="7"/>
  <c r="C55" i="7"/>
  <c r="C25" i="7"/>
  <c r="C23" i="7"/>
  <c r="C32" i="7" l="1"/>
  <c r="C24" i="7"/>
  <c r="C26" i="7"/>
  <c r="C33" i="7"/>
  <c r="G362" i="7" l="1"/>
</calcChain>
</file>

<file path=xl/sharedStrings.xml><?xml version="1.0" encoding="utf-8"?>
<sst xmlns="http://schemas.openxmlformats.org/spreadsheetml/2006/main" count="606" uniqueCount="328">
  <si>
    <t>Ministerio de Deportes</t>
  </si>
  <si>
    <t xml:space="preserve">Contratista:  </t>
  </si>
  <si>
    <t>No.</t>
  </si>
  <si>
    <t>DESCRIPCIÓN</t>
  </si>
  <si>
    <t>CANT.</t>
  </si>
  <si>
    <t>UND</t>
  </si>
  <si>
    <t>PRECIO</t>
  </si>
  <si>
    <t>SUB-TOTAL</t>
  </si>
  <si>
    <t>TOTAL</t>
  </si>
  <si>
    <t>TOTAL GENERAL</t>
  </si>
  <si>
    <t>SUB-TOTAL GENERAL</t>
  </si>
  <si>
    <t>GASTOS GENERALES</t>
  </si>
  <si>
    <t>a) Dirección Técnica</t>
  </si>
  <si>
    <t xml:space="preserve">b) Transporte </t>
  </si>
  <si>
    <t>c) Imprevistos</t>
  </si>
  <si>
    <t>d) Seguros y fianzas</t>
  </si>
  <si>
    <t>e) Gastos administrativos</t>
  </si>
  <si>
    <t>f) Ley no. 6-86 FOPETCONS</t>
  </si>
  <si>
    <t>g) Supervisión</t>
  </si>
  <si>
    <t>i) CODIA</t>
  </si>
  <si>
    <t>h) Itbis</t>
  </si>
  <si>
    <t>Acondicionamiento del Terreno</t>
  </si>
  <si>
    <t>Levantamiento y Control Topográfico</t>
  </si>
  <si>
    <t>Corte de capa vegetal e=10cm</t>
  </si>
  <si>
    <t>Regado, nivelado y compactado relleno de material con caliche e=0.10m</t>
  </si>
  <si>
    <t>Suministro y colocación de grama tipo bermuda</t>
  </si>
  <si>
    <t>Suministro y colocación de Tierra Negra E = 0.05 Mts</t>
  </si>
  <si>
    <t>Suministro y colocación de arena limosa e=.10</t>
  </si>
  <si>
    <t>Suministro y colocación de drenaje frances</t>
  </si>
  <si>
    <t>Box, home y juego de bases</t>
  </si>
  <si>
    <t>Preparación y relleno de box</t>
  </si>
  <si>
    <t xml:space="preserve"> Backstop Existente </t>
  </si>
  <si>
    <t>Desmonte de malla ciclonica de 6´(1 linea)</t>
  </si>
  <si>
    <t>Desmonte de malla ciclonica de 4´(2 linea)</t>
  </si>
  <si>
    <t>Resane de muro backstop H:1.10m</t>
  </si>
  <si>
    <t>Pintura acrilica superior en muro de backstop H:1:10m</t>
  </si>
  <si>
    <t>Suministro y colocación de malla ciclónica de 6' (2 lineas)</t>
  </si>
  <si>
    <t>Suministro y colocación de malla ciclónica de 4' (2 lineas)</t>
  </si>
  <si>
    <t>Demolición de Dugouts No.1 y No.2 Existentes</t>
  </si>
  <si>
    <t>Demolición de muros externos en blocks H:2.20m</t>
  </si>
  <si>
    <t>Demolición de vigas de amarre</t>
  </si>
  <si>
    <t>Demolición de losas de techo E:0.15 cm</t>
  </si>
  <si>
    <t>Demolición de losa de piso E:0.10cm</t>
  </si>
  <si>
    <t xml:space="preserve">Demolición de losa de hormigón para asientos en dugouts </t>
  </si>
  <si>
    <t>Demolición de soportes de losa de hormigón en blocks H:0.57cm</t>
  </si>
  <si>
    <t xml:space="preserve">Suministro y colocación de equipos de bomba de agua 1HP y el Kit de instalación y tanque hidroneumático </t>
  </si>
  <si>
    <t xml:space="preserve">Demolición de Gradas Laterales  </t>
  </si>
  <si>
    <t xml:space="preserve">Demolición de soportes en blocks </t>
  </si>
  <si>
    <t xml:space="preserve">Demolición asientos en losa de hormigón </t>
  </si>
  <si>
    <t>Demolición de acera interna E:0.10cm</t>
  </si>
  <si>
    <t xml:space="preserve">Desmonte de verja perimetral en malla ciclónica de 6' </t>
  </si>
  <si>
    <t>Construcción de cerramiento frontal en asientos en Blocks de 4¨</t>
  </si>
  <si>
    <t>Pintura de mantenimiento en puerta de tola metalica en cabinas (0.70x1.40m)</t>
  </si>
  <si>
    <t xml:space="preserve">Suministro y colocación de rejilla para desague de piso </t>
  </si>
  <si>
    <t xml:space="preserve">Suministro y colocación de dispensador de papel de baño para cabinas </t>
  </si>
  <si>
    <t xml:space="preserve">Suministro y colocación de dispensador de jabón de manos </t>
  </si>
  <si>
    <t xml:space="preserve">Suministro y colocación de dispensador para papel de manos </t>
  </si>
  <si>
    <t>Suministro y colocación de arrastres y conexiones de agua potable y aguas negras con red pública (ver planos adjuntos)</t>
  </si>
  <si>
    <t>Demolición y Construcción Muros de Cierre Perimetrales</t>
  </si>
  <si>
    <t>Suministro y colocación de puerta corriza en tola metálica en acceso lateral (5.00m x 2.20m) (ver detalle adjunto)</t>
  </si>
  <si>
    <t>Demolición de muros en block para nueva ubicación de dugouts y graderias cerramiento perimetral del complejo H:1.00m</t>
  </si>
  <si>
    <t>Pintura acrilica superior en muros de cerramiento perimetral del complejo H:2.00m</t>
  </si>
  <si>
    <t>General</t>
  </si>
  <si>
    <t xml:space="preserve">Suministro y colocación de tinacos para dugouts </t>
  </si>
  <si>
    <t xml:space="preserve">Limpieza final </t>
  </si>
  <si>
    <t>mes</t>
  </si>
  <si>
    <t xml:space="preserve"> m²</t>
  </si>
  <si>
    <t>m³</t>
  </si>
  <si>
    <t>pa</t>
  </si>
  <si>
    <t>juego</t>
  </si>
  <si>
    <t>ml</t>
  </si>
  <si>
    <t> m²</t>
  </si>
  <si>
    <t>und</t>
  </si>
  <si>
    <t>Transformador 50 KVA Tipo Poste, 7200V, 120/240V</t>
  </si>
  <si>
    <t>uds.</t>
  </si>
  <si>
    <t>Soporte de Transformador en Poste</t>
  </si>
  <si>
    <t>Postes Pretensados 35 pies, 500DAN (Incluye instalacion y Transp, (El tubo que va a todo lo llargo del poste de 3/4'' y que salga a 7 pies de la base y a 3 pies de la punta del Poste)</t>
  </si>
  <si>
    <t>Cut-Out 100 Amp. 15KV 110KVBIL</t>
  </si>
  <si>
    <t>Pararrayo 9 KV. 10KA (Polim.)</t>
  </si>
  <si>
    <t>Soporte Doble Unidad</t>
  </si>
  <si>
    <t>Soporte en Poste Simple Unidad</t>
  </si>
  <si>
    <t>Varilla de Tierra 5/8 x 8' con su Conector</t>
  </si>
  <si>
    <t>Tubería Galvanizada de Ø2''</t>
  </si>
  <si>
    <t>Condulet IMC de Ø2''</t>
  </si>
  <si>
    <t>Conector IMC Ø2''</t>
  </si>
  <si>
    <t>Tuerca Bushing Plastica 2''</t>
  </si>
  <si>
    <t>uds</t>
  </si>
  <si>
    <t>Barra Unitrop de 3/4"</t>
  </si>
  <si>
    <t>Abrazadera Unitrop de 2"</t>
  </si>
  <si>
    <t>Breaker Ind. G.E. 225/3A, 240V, con su Caja</t>
  </si>
  <si>
    <t>Panel Board 1Ø, 225A/2, 240V. Nema 1, Barras 225Amp. Con Los Siguientes Breaker:                                                                        1 Breaker 125/2A.,                                                                        8 Breaker 50/2A.</t>
  </si>
  <si>
    <t>Panel de Breaker TLM1412CCU, 125A. 240V.</t>
  </si>
  <si>
    <t>Breaker THQL 20 Amps.</t>
  </si>
  <si>
    <t>Breaker THQL 30/2 Amps.</t>
  </si>
  <si>
    <t>Registro Electico 40" x 12" x 10", Nema 1, en Tola Reforzada</t>
  </si>
  <si>
    <t>Postes Pretensados 50 pies, 800DAN (Incluye instalacion y Transporte, con escalerilla a partir de 9 metros desde la base del poste hacia arriba), (El tubo que va a todo lo llargo del poste de 1'' y que salga a 9 pies de la base y a 8 pies de la punta del Poste)</t>
  </si>
  <si>
    <t>Cruceta Galvanizada de 3 x 3 x 8'</t>
  </si>
  <si>
    <t xml:space="preserve">Flejes Galvanizados de 28" x 11/16 (AM) </t>
  </si>
  <si>
    <t>Tornillo Maquina cabeza cuadrada 5/8 x 12"</t>
  </si>
  <si>
    <t>Tornillo de maquina cabeza cuadrada de 3/8´´ x 2´´</t>
  </si>
  <si>
    <t xml:space="preserve">Alambre AWG ST #3/0 THWN ó THHN (Negro) </t>
  </si>
  <si>
    <t>Pies</t>
  </si>
  <si>
    <t xml:space="preserve">Alambre AWG ST #1/0 THWN ó THHN (Blanco) </t>
  </si>
  <si>
    <t>Alambre AWG ST #6 THWN ó THHN (Verde)</t>
  </si>
  <si>
    <t>pies</t>
  </si>
  <si>
    <t>Alambre AWG ST #2 THWN ó THHN (Negro)</t>
  </si>
  <si>
    <t>Alambre AWG ST #4 THWN ó THHN (Blanco)</t>
  </si>
  <si>
    <t>Alambre AWG ST #4 THWN ó THHN (Negro)</t>
  </si>
  <si>
    <t>Alambre AWG ST #6 THWN ó THHN (Negro)</t>
  </si>
  <si>
    <t>Alambre AWG ST #8 THWN ó THHN (Negro)</t>
  </si>
  <si>
    <t>Alambre AWG ST #8 THWN ó THHN (Verde)</t>
  </si>
  <si>
    <t>Alambre AWG ST #10 THWN ó THHN (Verde)</t>
  </si>
  <si>
    <t>Cable de Goma 10/3</t>
  </si>
  <si>
    <t>Tubería PVC SDR-26 de Ø2''</t>
  </si>
  <si>
    <t>Curvas PVC de 2''</t>
  </si>
  <si>
    <t>Tubería PVC SDR-26 de Ø1-1/2''</t>
  </si>
  <si>
    <t>Tubería PVC SDR-26 de Ø1''</t>
  </si>
  <si>
    <t>Curvas PVC de Ø1''</t>
  </si>
  <si>
    <t>Adaptador PVC Hembra de Ø1"</t>
  </si>
  <si>
    <t>Registros de piso (bnp) 0.6 x 0.6 x 0.40 Mts. Con su Tapa</t>
  </si>
  <si>
    <t>Conector UF 3/8'' - 1/2</t>
  </si>
  <si>
    <t>Tubería Galvanizada de Ø1''</t>
  </si>
  <si>
    <t>Tuerca Bushing Plastica 1''</t>
  </si>
  <si>
    <t>Abrazadera EMT Ø1''</t>
  </si>
  <si>
    <t>Tubería EMT de 2"</t>
  </si>
  <si>
    <t>Conector EMT Ø2''</t>
  </si>
  <si>
    <t>Adaptador PVC hembra de 2''</t>
  </si>
  <si>
    <t>Tarugo de Plomo 3/8" x 2"</t>
  </si>
  <si>
    <t>Tornillo Tirafondo Cabeza Hexagonal 3/8 x 2</t>
  </si>
  <si>
    <t>Registro Metalico 6 x 6 x 4 Nema 3R</t>
  </si>
  <si>
    <t>Tarugo de Plomo 5/16" x 1-1/2"</t>
  </si>
  <si>
    <t>Tornillo Tirafondo Cabeza Hexagonal 5/16 x 1-1/2</t>
  </si>
  <si>
    <t>Tarugo plastico Mamey 3/8 x 2"</t>
  </si>
  <si>
    <t>Tornillos Tirafondo 12 x 2''</t>
  </si>
  <si>
    <t>Excavacion y Tapado (328 x 0.4 x 0.6)mt.</t>
  </si>
  <si>
    <t>M3</t>
  </si>
  <si>
    <t>Tape 3M Scoth-33 super (plast.)</t>
  </si>
  <si>
    <t>Mano de Obra</t>
  </si>
  <si>
    <t>%</t>
  </si>
  <si>
    <t>DOG-OUTS Y GRADAS</t>
  </si>
  <si>
    <t>Interruptor Sencillo Con Tapa Integrada (Marfil)</t>
  </si>
  <si>
    <t>Tomacorriente Doble 120V Con Tapa Integrada (Marfil)</t>
  </si>
  <si>
    <t>Interruptor Sencillo Tipo Leviton</t>
  </si>
  <si>
    <t>Tapa de Interruptor Sencillo Metalica</t>
  </si>
  <si>
    <t>Tomacorriente Doble 120V. 15A Tipo Leviton</t>
  </si>
  <si>
    <t>Tapa de Tomacorriente 2 x 4 Metàlica</t>
  </si>
  <si>
    <t>Alambre AWG ST #12 THWN ó THHN (Negro)</t>
  </si>
  <si>
    <t>Alambre AWG ST #12 THWN ó THHN (Blanco)</t>
  </si>
  <si>
    <t>Alambre AWG ST #12 THWN ó THHN (Verde)</t>
  </si>
  <si>
    <t xml:space="preserve">Caja  Metálica 2 x 4 x 1/2 </t>
  </si>
  <si>
    <t xml:space="preserve">Caja  Octagonal Ko-1/2 </t>
  </si>
  <si>
    <t xml:space="preserve">Rosetas de Porcelana </t>
  </si>
  <si>
    <t>Bombillo LED 20W 2000 lm Luz Blanca E-27 IP65</t>
  </si>
  <si>
    <t>Bombillo LED 30W 3000 lm Luz Blanca E-27 IP65</t>
  </si>
  <si>
    <t>Tubería EMT de 1/2"</t>
  </si>
  <si>
    <t>Abrazadera EMT Ø1/2''</t>
  </si>
  <si>
    <t>Conector EMT Ø1/2'' Metalico</t>
  </si>
  <si>
    <t>Coupling EMT Ø1/2'' Metalico</t>
  </si>
  <si>
    <t>Tubería PVC SDR-26 de Ø1/2''</t>
  </si>
  <si>
    <t>Curvas PVC de Ø1/2''</t>
  </si>
  <si>
    <t>Tubería PVC SDR-26 de Ø3/4''</t>
  </si>
  <si>
    <t>Curvas PVC de Ø3/4''</t>
  </si>
  <si>
    <t>Registro Metalico 5'' x 5''  Ko 3/4''- 1/2"</t>
  </si>
  <si>
    <t xml:space="preserve">Tapa de Metal  Ciega 5'' x 5''  </t>
  </si>
  <si>
    <t>Tarugo plastico Mamey 3/8 x 1-1/2</t>
  </si>
  <si>
    <t>Tornillos Tirafondo 12 x 1 1/2''</t>
  </si>
  <si>
    <t>Diseño y Aprobación de Planos</t>
  </si>
  <si>
    <t>P.A.</t>
  </si>
  <si>
    <t>Solicitud de Presupuesto y Pago Interconexion</t>
  </si>
  <si>
    <t>PA</t>
  </si>
  <si>
    <t>Uso de Grua 70 pies</t>
  </si>
  <si>
    <t>Dias</t>
  </si>
  <si>
    <t>Preliminares</t>
  </si>
  <si>
    <t>Letrero de obra</t>
  </si>
  <si>
    <t>Caseta de Materiales</t>
  </si>
  <si>
    <t>Suministro y colocacion de tarja(0.40x0.60)</t>
  </si>
  <si>
    <t>Carga y Bote de materiales, producto demoliciones y desmonte</t>
  </si>
  <si>
    <t>m3e</t>
  </si>
  <si>
    <t xml:space="preserve">Proyecto: Presupuesto Para La Reparación Del Play De Beisbol Las Eneas, Isabela, Prov. Puerto Plata </t>
  </si>
  <si>
    <t>Fecha: 03/08/2026</t>
  </si>
  <si>
    <t>Núm  : 085-2026</t>
  </si>
  <si>
    <t>Ubicación  :  Las Eneas, La Isabela, Prov. Puerto Plata</t>
  </si>
  <si>
    <t>Desmantelacion y Retiro de Poste 8 und</t>
  </si>
  <si>
    <t xml:space="preserve">Marcado de play </t>
  </si>
  <si>
    <t>Carga y Bote de materiales.</t>
  </si>
  <si>
    <t xml:space="preserve">Limpieza de terreno y mantenimiento de grama hasta la inauguración </t>
  </si>
  <si>
    <t>Meses</t>
  </si>
  <si>
    <t>Sistema de Riego</t>
  </si>
  <si>
    <t>Suministro y colocación de válvulas de paso 3/4´´</t>
  </si>
  <si>
    <t>UD</t>
  </si>
  <si>
    <r>
      <rPr>
        <sz val="18"/>
        <rFont val="Times New Roman"/>
        <family val="1"/>
      </rPr>
      <t>MANGUERA PE DE 32MM PN4, (incluye:
zanja, asiento de arena,  relleno y piezas especiales)</t>
    </r>
  </si>
  <si>
    <t>ML</t>
  </si>
  <si>
    <t>Suministro y colocacion de aspersores</t>
  </si>
  <si>
    <t>Suministro y colocación de llave de chorro 3/4´´</t>
  </si>
  <si>
    <t>Suministro e Instalacion Bomba Pedrollo de 5.5 HP</t>
  </si>
  <si>
    <t>ud</t>
  </si>
  <si>
    <t>Suministro e Instalacion Tanque de Fibra de Vidrio de 120 galones</t>
  </si>
  <si>
    <t>Sistema de Drenaje</t>
  </si>
  <si>
    <t>Suministro y colocación de tubo perforado PVC SDR-41 Ø6" (incluye nivelación y perforación)</t>
  </si>
  <si>
    <t xml:space="preserve">ML </t>
  </si>
  <si>
    <t>Suministro y colocación de tubo perforado PVC SDR-41 Ø4" (incluye nivelación y perforación)</t>
  </si>
  <si>
    <t>Excavación en roca para sistema de drenaje (0.30*0.60)m</t>
  </si>
  <si>
    <t>Suministro y Colocación de malla Geo textil (para
cubrir tubos de drenajes)</t>
  </si>
  <si>
    <t>M2</t>
  </si>
  <si>
    <t>Suministro y colocación de grava 3/4" a 1/2" (incluye nivelación)</t>
  </si>
  <si>
    <t xml:space="preserve">Suministro y colocación de arena triturada lavada azul para asiento </t>
  </si>
  <si>
    <t>Registros (1.00x1.00)m (Desarenadores)</t>
  </si>
  <si>
    <t>Registros (1.50x1.50)m (Desarenadores)</t>
  </si>
  <si>
    <t>Instalacion electrica general</t>
  </si>
  <si>
    <t xml:space="preserve">Luminarias LED Tipo Estadio 1000W.,   6000K  Efic.90%  multivoltage 85-265V. IP65, ó IP66. Difusor de Aluminio. </t>
  </si>
  <si>
    <t xml:space="preserve">CONSTRUCCION DE  DOG-OUT (8.45 x 4.40)mts  2und </t>
  </si>
  <si>
    <t>PARTIDAS PRELIMINARES</t>
  </si>
  <si>
    <t>Replanteo</t>
  </si>
  <si>
    <t>m2</t>
  </si>
  <si>
    <t>MOVIMIENTO DE TIERRA</t>
  </si>
  <si>
    <t>Excavación para zapata de muro (0.45 x 0.90) mts</t>
  </si>
  <si>
    <t>Excavación para zapata de columna (1.00x1.00x0.90) mts</t>
  </si>
  <si>
    <t>Relleno de reposición compactado para muro</t>
  </si>
  <si>
    <t xml:space="preserve">Relleno de reposición compactado para columna </t>
  </si>
  <si>
    <t>Relleno de reposición compactado para piso, e=7cm</t>
  </si>
  <si>
    <t>Bote de material producto de excavación (incluye carguio a mano), en camión de 6M3</t>
  </si>
  <si>
    <t>HORMIGON ARMADO EN:</t>
  </si>
  <si>
    <t xml:space="preserve">Zapatas para muro de 6" (0.45x0.30)m, 4 Ø 3/8" y Ø3/8" @ 0.15m, hormigón industrial 210kg/cm² </t>
  </si>
  <si>
    <t>Zapatas para columna (1.00x1.00x0.30)m, Ø1/2" @0.20m AD, hormigón industrial 210kg/cm²</t>
  </si>
  <si>
    <t>m²</t>
  </si>
  <si>
    <t>Columnas de HA (0.15 x 0.30)m, 4Ø1/2"  Ø3/8"@0.20m, hormigón industrial f'c= 210kg/cm²</t>
  </si>
  <si>
    <t>Vigas de HA (0.15x0.20)m, 4Ø3/8"  Ø3/8"@0.20m, hormigón industrial f'c= 210kg/cm²</t>
  </si>
  <si>
    <t>Losas planas hormigón industrial f'c= 210 Kg/cm² e=0.13m 3/8" @ 0.25m AD</t>
  </si>
  <si>
    <t>Piso de Hormigón pulido e=10 cms. de espesor 1er. nivel</t>
  </si>
  <si>
    <t>MUROS DE BLOQUES</t>
  </si>
  <si>
    <t>Muros block BNP, SNP, 0.15M, Asv Ø3/8" a 0.60 m.</t>
  </si>
  <si>
    <t>CONSTRUCCION BANCO DE HORMIGON</t>
  </si>
  <si>
    <t>Excavación para zapata de muro (0.55 x 0.70) mts</t>
  </si>
  <si>
    <t xml:space="preserve">Zapatas para muro de 6" (0.45x0.30)m, 3 Ø 3/8" y Ø3/8" @ 0.15m, hormigón industrial 210kg/cm² </t>
  </si>
  <si>
    <t>Muros block 0.15M, Asv Ø3/8" a 0.60 m.</t>
  </si>
  <si>
    <t>Pañete</t>
  </si>
  <si>
    <t>Cantos</t>
  </si>
  <si>
    <t xml:space="preserve">Losa de HA e=0.12m, Ø3/8"@0.25m </t>
  </si>
  <si>
    <t xml:space="preserve">Pintura acrílica </t>
  </si>
  <si>
    <t>TERMINACION DE SUPERFICIE</t>
  </si>
  <si>
    <t>Fraguache en techo y elementos de HA</t>
  </si>
  <si>
    <t>Pañete general</t>
  </si>
  <si>
    <t xml:space="preserve">Fino en techo </t>
  </si>
  <si>
    <t xml:space="preserve">PINTURA Y REVESTIMIENTO </t>
  </si>
  <si>
    <t>Pintura general</t>
  </si>
  <si>
    <t>Suministro y colocación de piso de granito blanco en área de baños y vestidores (30x30cm)</t>
  </si>
  <si>
    <t>Suministro y colocación de cerámica de paredes de área de baños  (0.20xmx0.20cm) h:2.40m</t>
  </si>
  <si>
    <t>MISCELANEOS</t>
  </si>
  <si>
    <t>Suministro y colocación de inodoros de tanque, incluye salidas</t>
  </si>
  <si>
    <t xml:space="preserve">Suministro y colocación de lavamanos, incluye salidas. </t>
  </si>
  <si>
    <t xml:space="preserve">Suministro y colocación de orinales </t>
  </si>
  <si>
    <t xml:space="preserve">Suministro y colocación de ventana </t>
  </si>
  <si>
    <r>
      <t>p</t>
    </r>
    <r>
      <rPr>
        <vertAlign val="superscript"/>
        <sz val="18"/>
        <rFont val="Times New Roman"/>
        <family val="1"/>
      </rPr>
      <t>3</t>
    </r>
  </si>
  <si>
    <t>Sum/ colocación de m/ ciclónica cal 29 h=6 pie</t>
  </si>
  <si>
    <t xml:space="preserve">Suministro y colocación de puerta en malla ciclónica </t>
  </si>
  <si>
    <t>Demolición de gradas en hormigón</t>
  </si>
  <si>
    <t>Excavación para zapata de muro de 8", (0.60x1.00)m</t>
  </si>
  <si>
    <t xml:space="preserve">Excavación (0.45x0.90)m </t>
  </si>
  <si>
    <t xml:space="preserve">Relleno de reposición compactado en zapata de muro </t>
  </si>
  <si>
    <t>Relleno de reposición compactado en zapata de columna</t>
  </si>
  <si>
    <t>Bote de material producto de excavación (en camión de 6m³)</t>
  </si>
  <si>
    <t>Zapatas HA para muro de 8" (0.60x0.30)m, 4Ø3/8" y Ø3/8"@0.15m, hormigón industrial 210kg/cm²</t>
  </si>
  <si>
    <t>Zapatas HA para columnas (1.00x1.00*0.30)m, Ø1/2" @0.20m AD y Ø3/8" @0.20m AD,  hormigón industrial 210kg/cm²</t>
  </si>
  <si>
    <t>Viga HA de amarre BNP (0.20x0.20)m, 4Ø3/8" + est. Ø3/8"@0.20m,  hormigón industrial 210kg/cm²</t>
  </si>
  <si>
    <t xml:space="preserve">Bloques hormigón de 8" - 3/8" @ 0.60m </t>
  </si>
  <si>
    <t>Columnas de HA (20x20)cm, 4Ø1/2" + est. Ø3/8"@0.20m,  1:2:4 con ligadora</t>
  </si>
  <si>
    <t>Losa  HA E=0.12m 3/8"@0.15m en A.D. - 1:2:4 con ligadora y winche</t>
  </si>
  <si>
    <t>Fraguache en elementos de HA</t>
  </si>
  <si>
    <t xml:space="preserve">Pañete general </t>
  </si>
  <si>
    <t xml:space="preserve">Cantos </t>
  </si>
  <si>
    <t>Pintura en muros</t>
  </si>
  <si>
    <t>Espaldar en muros de 6" anclado en muro (incluye pañete, cantos y pintura), alt. 1.00m</t>
  </si>
  <si>
    <t xml:space="preserve">Construcción de cerramiento frontal en asientos e blocks de 0.10 m. incluye pañete y pintura </t>
  </si>
  <si>
    <t>Suministro y colocación de malla ciclónica de 6' en cerramiento posterior superior gradas</t>
  </si>
  <si>
    <t>Construcción de muro perimetral (e=0.10 m) de cierre frontal de grada h=0.60 m</t>
  </si>
  <si>
    <t>Suministro y colocación de malla de 6' en muro perimetral de cierre frontal de grada</t>
  </si>
  <si>
    <t>Pintura acrílica en muro perimetral de cierre frontal de grada h=0.60 m</t>
  </si>
  <si>
    <t>Suministro y colocación de puertas en tola metálica en aceso de público (0.72 x 2.10 m)</t>
  </si>
  <si>
    <t>Pintura de mantenimiento en puerta de tola metálica en cceso al público (0.72 x 2.10 m)</t>
  </si>
  <si>
    <t>Construcción de piso de hormigón tipo acera en circulación de gradas</t>
  </si>
  <si>
    <t>Construcción de techado para gradas completo incluye (perfiles de columnas, de techo, placas, pernos, canaleta, bajante y aluzinc)</t>
  </si>
  <si>
    <t>CONSTRUCCIÓN DE BAÑOS PÚBLICOS AL LADO DE GRADAS LATERALES (4.56x3.20)m</t>
  </si>
  <si>
    <t xml:space="preserve">Replanteo </t>
  </si>
  <si>
    <t xml:space="preserve">Excavación (0.60x0.90)m </t>
  </si>
  <si>
    <t>m3</t>
  </si>
  <si>
    <t xml:space="preserve">Relleno de Reposición </t>
  </si>
  <si>
    <t xml:space="preserve">Zapatas para muro de 6" (0.45x0.30)m, 3 Ø 3/8" y Ø3/8" @ 0.20m, hormigón industrial 210kg/cm² </t>
  </si>
  <si>
    <t>Muros de bloques de 8" BNP</t>
  </si>
  <si>
    <t xml:space="preserve">Muros de bloques de 8" SNP  </t>
  </si>
  <si>
    <t xml:space="preserve">Muros de bloques de 6" BNP  </t>
  </si>
  <si>
    <t>Muros de bloques de 6"  SNP</t>
  </si>
  <si>
    <t>Muros de bloques de 4" SNP</t>
  </si>
  <si>
    <t>Epóxico para amarre de muro de 4"</t>
  </si>
  <si>
    <t>Viga HA (0.20x0.20)m, 4Ø3/8" + est. Ø3/8"@0.20m,  hormigón industrial 210kg/cm²</t>
  </si>
  <si>
    <t>Losa  HA E=0.12m 3/8"@0.25m en A.D. - 1:2:4 con ligadora y winche</t>
  </si>
  <si>
    <t>Piso HA E=0.10m malla electros. D2.3 10X10 pulido helicoptero-hormigón 210kg/cm2</t>
  </si>
  <si>
    <t>Acera en hormigón violinada E=0.10m - 1:2:4 con ligadora en circulación de gradas</t>
  </si>
  <si>
    <t>Cantos general</t>
  </si>
  <si>
    <t xml:space="preserve">Pañete </t>
  </si>
  <si>
    <t xml:space="preserve">Pintura acrílica superior de muros </t>
  </si>
  <si>
    <t>Pintura acrílica blanca en techos</t>
  </si>
  <si>
    <t xml:space="preserve">Fino de techo plano </t>
  </si>
  <si>
    <t>Suministro y colocación de impermeabilizante tela asfaltica 4mm</t>
  </si>
  <si>
    <t>MISCELANEOS BAÑOS DE LADO DE GRADAS</t>
  </si>
  <si>
    <t>Suministro y colocación de puertas de tola en accesos  a baños (0.90x2.10m) 4 und</t>
  </si>
  <si>
    <t>Pintura de mantenimiento en puertas de tola en accesos  a baños (0.90x2.10m) 4 und</t>
  </si>
  <si>
    <t>Suministro y colocación de cerámica de pared (0.20x0.20cm) h:2.30m</t>
  </si>
  <si>
    <t xml:space="preserve">Suministro y colocación de tope en granito para lavamanos empotrados sobre base de metal </t>
  </si>
  <si>
    <t>Suministro y colocación de puertas de en pvc en cabinas (0.70x1.40m)  4 und</t>
  </si>
  <si>
    <t>Suministro y colocación de ventanas de celocias de aluminio color blanco (0.60x1.40m) 2 und</t>
  </si>
  <si>
    <t>p2</t>
  </si>
  <si>
    <t>Construcción muro de bloques de 0.10 m cerramiento en area de baños públicos</t>
  </si>
  <si>
    <t>Pañete muro de cerramiento en area de baños públicos</t>
  </si>
  <si>
    <t>Pintura acrílica muro de cerramiento en area de baños públicos</t>
  </si>
  <si>
    <t xml:space="preserve">Suministro y colocación de arrastres y conexiones de agua potable y aguas negras </t>
  </si>
  <si>
    <t xml:space="preserve">CONSTRUCCION DE GRADAS (L=18.20M, 5 ASIENTOS) DOS UNIDADES </t>
  </si>
  <si>
    <t>Suministro y colocación de puertas de tola metalica en cabinas (0.70x1.40m) 8 und</t>
  </si>
  <si>
    <t>Suministro y colocación de ventanas de celocias de aluminio color blanco (0.60x1.40m) 4 und</t>
  </si>
  <si>
    <t>Suministro y colocación de herreria para protección de ventanas (0.60m x 1.40m) 4und</t>
  </si>
  <si>
    <t xml:space="preserve">Construcción cisterna 4,000 GLS 2.50x3.50x2.00m </t>
  </si>
  <si>
    <t>p.a</t>
  </si>
  <si>
    <t>Excavación para zapata de columna (1.00 x 1.00) mts</t>
  </si>
  <si>
    <t>Viga HA de amarre BNP (0.20x0.20)m, 5Ø3/8" + est. Ø3/8"@0.20m,  hormigón industrial 210kg/cm²</t>
  </si>
  <si>
    <t>Columnas de HA (20x20)cm, 4Ø1/2" + est. Ø3/8"@0.20m,  hormigón industrial 210kg/cm²</t>
  </si>
  <si>
    <t>Losa de HA e=0.12m, Ø3/8"@0.25m y  Ø3/8"@0.20m</t>
  </si>
  <si>
    <t>Espaldar en muros de 6" anclado en muro (incluye pañete, cantos y pintura), alt. 0.70m</t>
  </si>
  <si>
    <t>Suministro y colocación de baranda para gradas en tubos galvanizado de 2"</t>
  </si>
  <si>
    <t xml:space="preserve">CONSTRUCCION DE GRADA CENTRAL (L=37.37 M, 6 ASIENTOS)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</si>
</sst>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3" formatCode="_(* #,##0.00_);_(* \(#,##0.00\);_(* &quot;-&quot;??_);_(@_)"/>
    <numFmt numFmtId="164" formatCode="General_)"/>
    <numFmt numFmtId="165" formatCode="_(&quot;$&quot;* #,##0.00_);_(&quot;$&quot;* \(#,##0.00\);_(&quot;$&quot;* &quot;-&quot;_);_(@_)"/>
    <numFmt numFmtId="166" formatCode="#,##0.00;[Red]#,##0.00"/>
  </numFmts>
  <fonts count="20" x14ac:knownFonts="1"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8"/>
      <name val="Times New Roman"/>
      <family val="1"/>
    </font>
    <font>
      <b/>
      <sz val="18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b/>
      <sz val="18"/>
      <color theme="1"/>
      <name val="Times New Roman"/>
      <family val="1"/>
    </font>
    <font>
      <b/>
      <sz val="18"/>
      <color theme="1"/>
      <name val="MS Sans Serif"/>
      <family val="2"/>
    </font>
    <font>
      <b/>
      <sz val="16"/>
      <name val="Times New Roman"/>
      <family val="1"/>
    </font>
    <font>
      <sz val="16"/>
      <name val="Times New Roman"/>
      <family val="1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Arial"/>
      <family val="2"/>
    </font>
    <font>
      <b/>
      <sz val="18"/>
      <name val="Arial"/>
      <family val="2"/>
    </font>
    <font>
      <vertAlign val="superscript"/>
      <sz val="1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40" fontId="2" fillId="0" borderId="0" applyFont="0" applyFill="0" applyBorder="0" applyAlignment="0" applyProtection="0"/>
    <xf numFmtId="8" fontId="2" fillId="0" borderId="0" applyFont="0" applyFill="0" applyBorder="0" applyAlignment="0" applyProtection="0"/>
    <xf numFmtId="0" fontId="1" fillId="0" borderId="0"/>
    <xf numFmtId="0" fontId="2" fillId="0" borderId="0"/>
    <xf numFmtId="0" fontId="8" fillId="0" borderId="0"/>
    <xf numFmtId="0" fontId="1" fillId="0" borderId="0"/>
    <xf numFmtId="165" fontId="8" fillId="0" borderId="0" applyFont="0" applyFill="0" applyBorder="0" applyAlignment="0" applyProtection="0"/>
    <xf numFmtId="40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8" fillId="0" borderId="0"/>
    <xf numFmtId="0" fontId="2" fillId="0" borderId="0"/>
    <xf numFmtId="0" fontId="10" fillId="0" borderId="0"/>
    <xf numFmtId="9" fontId="2" fillId="0" borderId="0" applyFont="0" applyFill="0" applyBorder="0" applyAlignment="0" applyProtection="0"/>
  </cellStyleXfs>
  <cellXfs count="17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/>
    </xf>
    <xf numFmtId="0" fontId="4" fillId="0" borderId="2" xfId="0" applyFont="1" applyBorder="1"/>
    <xf numFmtId="4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4" fontId="4" fillId="0" borderId="2" xfId="0" applyNumberFormat="1" applyFont="1" applyBorder="1"/>
    <xf numFmtId="4" fontId="4" fillId="0" borderId="3" xfId="0" applyNumberFormat="1" applyFont="1" applyBorder="1" applyAlignment="1">
      <alignment horizontal="right"/>
    </xf>
    <xf numFmtId="4" fontId="4" fillId="0" borderId="0" xfId="0" applyNumberFormat="1" applyFont="1" applyAlignment="1">
      <alignment horizontal="right"/>
    </xf>
    <xf numFmtId="0" fontId="5" fillId="0" borderId="0" xfId="0" applyFont="1"/>
    <xf numFmtId="0" fontId="7" fillId="0" borderId="0" xfId="0" applyFont="1"/>
    <xf numFmtId="4" fontId="7" fillId="0" borderId="0" xfId="0" applyNumberFormat="1" applyFont="1"/>
    <xf numFmtId="0" fontId="7" fillId="0" borderId="0" xfId="0" applyFont="1" applyAlignment="1">
      <alignment horizontal="right"/>
    </xf>
    <xf numFmtId="4" fontId="7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left"/>
    </xf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4" fontId="9" fillId="0" borderId="0" xfId="0" applyNumberFormat="1" applyFont="1"/>
    <xf numFmtId="4" fontId="4" fillId="0" borderId="2" xfId="0" quotePrefix="1" applyNumberFormat="1" applyFont="1" applyBorder="1" applyAlignment="1">
      <alignment horizontal="right"/>
    </xf>
    <xf numFmtId="0" fontId="4" fillId="0" borderId="2" xfId="0" quotePrefix="1" applyFont="1" applyBorder="1" applyAlignment="1">
      <alignment horizontal="right"/>
    </xf>
    <xf numFmtId="4" fontId="4" fillId="0" borderId="2" xfId="0" quotePrefix="1" applyNumberFormat="1" applyFont="1" applyBorder="1"/>
    <xf numFmtId="4" fontId="4" fillId="0" borderId="3" xfId="0" quotePrefix="1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4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" fontId="3" fillId="0" borderId="0" xfId="0" applyNumberFormat="1" applyFont="1"/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left"/>
    </xf>
    <xf numFmtId="40" fontId="3" fillId="0" borderId="0" xfId="1" applyFont="1" applyBorder="1" applyAlignment="1">
      <alignment horizontal="right"/>
    </xf>
    <xf numFmtId="4" fontId="3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left" vertical="center"/>
    </xf>
    <xf numFmtId="4" fontId="4" fillId="0" borderId="7" xfId="0" applyNumberFormat="1" applyFont="1" applyBorder="1" applyAlignment="1">
      <alignment horizontal="left"/>
    </xf>
    <xf numFmtId="40" fontId="3" fillId="0" borderId="8" xfId="1" applyFont="1" applyBorder="1" applyAlignment="1">
      <alignment horizontal="right"/>
    </xf>
    <xf numFmtId="4" fontId="3" fillId="0" borderId="8" xfId="0" applyNumberFormat="1" applyFont="1" applyBorder="1" applyAlignment="1">
      <alignment horizontal="right"/>
    </xf>
    <xf numFmtId="4" fontId="3" fillId="0" borderId="8" xfId="2" applyNumberFormat="1" applyFont="1" applyBorder="1" applyAlignment="1"/>
    <xf numFmtId="4" fontId="4" fillId="0" borderId="9" xfId="2" applyNumberFormat="1" applyFont="1" applyBorder="1" applyAlignment="1">
      <alignment horizontal="right"/>
    </xf>
    <xf numFmtId="40" fontId="11" fillId="0" borderId="0" xfId="1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43" fontId="11" fillId="0" borderId="0" xfId="1" applyNumberFormat="1" applyFont="1" applyBorder="1" applyAlignment="1">
      <alignment horizontal="right" vertical="center"/>
    </xf>
    <xf numFmtId="0" fontId="13" fillId="0" borderId="0" xfId="0" applyFont="1" applyAlignment="1">
      <alignment horizontal="left"/>
    </xf>
    <xf numFmtId="4" fontId="14" fillId="0" borderId="0" xfId="0" applyNumberFormat="1" applyFont="1" applyAlignment="1">
      <alignment horizontal="center"/>
    </xf>
    <xf numFmtId="0" fontId="14" fillId="0" borderId="0" xfId="0" applyFont="1" applyAlignment="1">
      <alignment vertical="center"/>
    </xf>
    <xf numFmtId="0" fontId="13" fillId="0" borderId="0" xfId="0" applyFont="1"/>
    <xf numFmtId="0" fontId="14" fillId="0" borderId="0" xfId="0" applyFont="1"/>
    <xf numFmtId="4" fontId="14" fillId="0" borderId="0" xfId="0" applyNumberFormat="1" applyFont="1"/>
    <xf numFmtId="0" fontId="14" fillId="0" borderId="0" xfId="0" applyFont="1" applyAlignment="1">
      <alignment horizontal="left"/>
    </xf>
    <xf numFmtId="4" fontId="14" fillId="0" borderId="0" xfId="2" applyNumberFormat="1" applyFont="1" applyFill="1" applyBorder="1"/>
    <xf numFmtId="4" fontId="7" fillId="0" borderId="0" xfId="2" applyNumberFormat="1" applyFont="1" applyFill="1" applyBorder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" fontId="3" fillId="0" borderId="0" xfId="2" applyNumberFormat="1" applyFont="1" applyFill="1" applyBorder="1"/>
    <xf numFmtId="0" fontId="4" fillId="0" borderId="2" xfId="0" applyFont="1" applyBorder="1" applyAlignment="1">
      <alignment horizontal="center"/>
    </xf>
    <xf numFmtId="164" fontId="4" fillId="0" borderId="1" xfId="0" applyNumberFormat="1" applyFont="1" applyBorder="1"/>
    <xf numFmtId="164" fontId="4" fillId="0" borderId="2" xfId="0" applyNumberFormat="1" applyFont="1" applyBorder="1"/>
    <xf numFmtId="164" fontId="4" fillId="0" borderId="3" xfId="0" applyNumberFormat="1" applyFont="1" applyBorder="1"/>
    <xf numFmtId="0" fontId="3" fillId="0" borderId="2" xfId="0" applyFont="1" applyBorder="1"/>
    <xf numFmtId="4" fontId="4" fillId="0" borderId="7" xfId="0" quotePrefix="1" applyNumberFormat="1" applyFont="1" applyBorder="1" applyAlignment="1">
      <alignment horizontal="left"/>
    </xf>
    <xf numFmtId="4" fontId="4" fillId="0" borderId="8" xfId="0" applyNumberFormat="1" applyFont="1" applyBorder="1" applyAlignment="1">
      <alignment horizontal="right"/>
    </xf>
    <xf numFmtId="4" fontId="3" fillId="0" borderId="8" xfId="0" applyNumberFormat="1" applyFont="1" applyBorder="1"/>
    <xf numFmtId="4" fontId="4" fillId="0" borderId="9" xfId="0" quotePrefix="1" applyNumberFormat="1" applyFont="1" applyBorder="1" applyAlignment="1">
      <alignment horizontal="right"/>
    </xf>
    <xf numFmtId="4" fontId="4" fillId="0" borderId="0" xfId="0" quotePrefix="1" applyNumberFormat="1" applyFont="1" applyAlignment="1">
      <alignment horizontal="left"/>
    </xf>
    <xf numFmtId="4" fontId="3" fillId="0" borderId="0" xfId="2" applyNumberFormat="1" applyFont="1" applyBorder="1" applyAlignment="1"/>
    <xf numFmtId="4" fontId="4" fillId="0" borderId="0" xfId="2" applyNumberFormat="1" applyFont="1" applyBorder="1" applyAlignment="1">
      <alignment horizontal="right"/>
    </xf>
    <xf numFmtId="40" fontId="4" fillId="0" borderId="0" xfId="1" applyFont="1" applyBorder="1" applyAlignment="1">
      <alignment horizontal="right"/>
    </xf>
    <xf numFmtId="4" fontId="4" fillId="0" borderId="0" xfId="0" applyNumberFormat="1" applyFont="1"/>
    <xf numFmtId="10" fontId="3" fillId="0" borderId="0" xfId="1" applyNumberFormat="1" applyFont="1" applyBorder="1" applyAlignment="1">
      <alignment horizontal="right"/>
    </xf>
    <xf numFmtId="40" fontId="3" fillId="0" borderId="0" xfId="1" applyFont="1" applyBorder="1" applyAlignment="1"/>
    <xf numFmtId="4" fontId="3" fillId="0" borderId="0" xfId="12" applyNumberFormat="1" applyFont="1" applyAlignment="1">
      <alignment horizontal="left"/>
    </xf>
    <xf numFmtId="0" fontId="15" fillId="2" borderId="0" xfId="0" applyFont="1" applyFill="1" applyAlignment="1">
      <alignment horizontal="left" vertical="top"/>
    </xf>
    <xf numFmtId="0" fontId="15" fillId="2" borderId="0" xfId="0" applyFont="1" applyFill="1" applyAlignment="1">
      <alignment horizontal="left" vertical="top" wrapText="1"/>
    </xf>
    <xf numFmtId="0" fontId="16" fillId="2" borderId="0" xfId="0" applyFont="1" applyFill="1" applyAlignment="1">
      <alignment horizontal="left" vertical="top"/>
    </xf>
    <xf numFmtId="0" fontId="4" fillId="0" borderId="0" xfId="0" applyFont="1" applyAlignment="1">
      <alignment horizontal="left" vertical="top" wrapText="1"/>
    </xf>
    <xf numFmtId="4" fontId="4" fillId="0" borderId="13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right" vertical="justify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>
      <alignment vertical="top" wrapText="1"/>
    </xf>
    <xf numFmtId="4" fontId="3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left" vertical="justify"/>
    </xf>
    <xf numFmtId="0" fontId="3" fillId="0" borderId="0" xfId="5" applyFont="1" applyProtection="1">
      <protection locked="0"/>
    </xf>
    <xf numFmtId="0" fontId="3" fillId="2" borderId="0" xfId="5" applyFont="1" applyFill="1" applyProtection="1">
      <protection locked="0"/>
    </xf>
    <xf numFmtId="0" fontId="3" fillId="0" borderId="0" xfId="0" applyFont="1" applyAlignment="1">
      <alignment horizontal="center" vertical="center"/>
    </xf>
    <xf numFmtId="0" fontId="3" fillId="0" borderId="0" xfId="12" applyFont="1" applyProtection="1">
      <protection locked="0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2" borderId="0" xfId="5" applyFont="1" applyFill="1" applyAlignment="1" applyProtection="1">
      <alignment vertical="center"/>
      <protection locked="0"/>
    </xf>
    <xf numFmtId="0" fontId="3" fillId="0" borderId="0" xfId="5" applyFont="1" applyAlignment="1" applyProtection="1">
      <alignment horizontal="left"/>
      <protection locked="0"/>
    </xf>
    <xf numFmtId="0" fontId="3" fillId="2" borderId="0" xfId="0" applyFont="1" applyFill="1"/>
    <xf numFmtId="0" fontId="17" fillId="0" borderId="0" xfId="0" applyFont="1" applyAlignment="1">
      <alignment horizontal="center"/>
    </xf>
    <xf numFmtId="0" fontId="3" fillId="2" borderId="0" xfId="0" applyFont="1" applyFill="1" applyAlignment="1">
      <alignment vertical="center"/>
    </xf>
    <xf numFmtId="164" fontId="3" fillId="0" borderId="0" xfId="0" applyNumberFormat="1" applyFont="1" applyAlignment="1">
      <alignment horizontal="left" vertical="center"/>
    </xf>
    <xf numFmtId="0" fontId="3" fillId="0" borderId="0" xfId="5" applyFont="1" applyAlignment="1" applyProtection="1">
      <alignment vertical="center"/>
      <protection locked="0"/>
    </xf>
    <xf numFmtId="0" fontId="18" fillId="0" borderId="0" xfId="0" applyFont="1"/>
    <xf numFmtId="4" fontId="4" fillId="0" borderId="0" xfId="0" applyNumberFormat="1" applyFont="1" applyAlignment="1" applyProtection="1">
      <alignment horizontal="center" vertical="center"/>
      <protection locked="0"/>
    </xf>
    <xf numFmtId="2" fontId="3" fillId="0" borderId="0" xfId="13" applyNumberFormat="1" applyFont="1" applyAlignment="1">
      <alignment horizontal="center" vertical="center"/>
    </xf>
    <xf numFmtId="4" fontId="4" fillId="0" borderId="0" xfId="0" quotePrefix="1" applyNumberFormat="1" applyFont="1"/>
    <xf numFmtId="2" fontId="3" fillId="0" borderId="0" xfId="1" applyNumberFormat="1" applyFont="1" applyFill="1" applyBorder="1" applyAlignment="1">
      <alignment horizontal="center"/>
    </xf>
    <xf numFmtId="4" fontId="4" fillId="0" borderId="13" xfId="1" applyNumberFormat="1" applyFont="1" applyBorder="1" applyAlignment="1" applyProtection="1">
      <alignment horizontal="right" vertical="justify"/>
    </xf>
    <xf numFmtId="4" fontId="3" fillId="0" borderId="0" xfId="13" applyNumberFormat="1" applyFont="1" applyAlignment="1">
      <alignment horizontal="center" vertical="center"/>
    </xf>
    <xf numFmtId="4" fontId="3" fillId="0" borderId="0" xfId="1" applyNumberFormat="1" applyFont="1" applyBorder="1" applyAlignment="1">
      <alignment horizontal="center" vertical="center"/>
    </xf>
    <xf numFmtId="4" fontId="3" fillId="0" borderId="0" xfId="14" applyNumberFormat="1" applyFont="1" applyBorder="1" applyAlignment="1">
      <alignment horizontal="center" vertical="center"/>
    </xf>
    <xf numFmtId="4" fontId="3" fillId="0" borderId="0" xfId="1" applyNumberFormat="1" applyFont="1" applyFill="1" applyBorder="1" applyAlignment="1">
      <alignment horizontal="center" vertical="center"/>
    </xf>
    <xf numFmtId="4" fontId="3" fillId="2" borderId="0" xfId="0" applyNumberFormat="1" applyFont="1" applyFill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 shrinkToFit="1"/>
    </xf>
    <xf numFmtId="0" fontId="16" fillId="0" borderId="0" xfId="0" applyFont="1" applyAlignment="1">
      <alignment horizontal="left" vertical="center" wrapText="1"/>
    </xf>
    <xf numFmtId="2" fontId="16" fillId="0" borderId="0" xfId="0" applyNumberFormat="1" applyFont="1" applyAlignment="1">
      <alignment horizontal="center" vertical="center" wrapText="1" shrinkToFit="1"/>
    </xf>
    <xf numFmtId="2" fontId="16" fillId="0" borderId="0" xfId="0" applyNumberFormat="1" applyFont="1" applyAlignment="1">
      <alignment horizontal="right" vertical="center" wrapText="1" shrinkToFit="1"/>
    </xf>
    <xf numFmtId="0" fontId="3" fillId="0" borderId="0" xfId="0" applyFont="1" applyAlignment="1">
      <alignment horizontal="center" vertical="center" wrapText="1"/>
    </xf>
    <xf numFmtId="4" fontId="16" fillId="0" borderId="0" xfId="0" applyNumberFormat="1" applyFont="1" applyAlignment="1">
      <alignment horizontal="right" vertical="center" wrapText="1" shrinkToFit="1"/>
    </xf>
    <xf numFmtId="164" fontId="4" fillId="0" borderId="0" xfId="0" applyNumberFormat="1" applyFont="1" applyAlignment="1">
      <alignment horizontal="justify" vertical="justify"/>
    </xf>
    <xf numFmtId="0" fontId="3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4" fontId="3" fillId="2" borderId="0" xfId="0" applyNumberFormat="1" applyFont="1" applyFill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4" fontId="4" fillId="0" borderId="0" xfId="0" quotePrefix="1" applyNumberFormat="1" applyFont="1" applyAlignment="1">
      <alignment horizontal="left" vertical="top"/>
    </xf>
    <xf numFmtId="164" fontId="4" fillId="0" borderId="0" xfId="0" applyNumberFormat="1" applyFont="1" applyAlignment="1">
      <alignment horizontal="left" vertical="justify"/>
    </xf>
    <xf numFmtId="4" fontId="4" fillId="0" borderId="0" xfId="0" quotePrefix="1" applyNumberFormat="1" applyFont="1" applyAlignment="1">
      <alignment horizontal="left" vertical="center"/>
    </xf>
    <xf numFmtId="166" fontId="3" fillId="0" borderId="0" xfId="0" applyNumberFormat="1" applyFont="1" applyAlignment="1">
      <alignment horizontal="right"/>
    </xf>
    <xf numFmtId="4" fontId="3" fillId="0" borderId="0" xfId="0" quotePrefix="1" applyNumberFormat="1" applyFont="1" applyAlignment="1">
      <alignment horizontal="left" vertical="center"/>
    </xf>
    <xf numFmtId="164" fontId="3" fillId="0" borderId="0" xfId="0" applyNumberFormat="1" applyFont="1" applyAlignment="1">
      <alignment horizontal="justify" vertical="justify"/>
    </xf>
    <xf numFmtId="4" fontId="3" fillId="0" borderId="0" xfId="3" applyNumberFormat="1" applyFont="1" applyAlignment="1">
      <alignment horizontal="right" vertical="center"/>
    </xf>
    <xf numFmtId="0" fontId="3" fillId="0" borderId="0" xfId="3" applyFont="1" applyAlignment="1">
      <alignment horizontal="right" vertical="center"/>
    </xf>
    <xf numFmtId="39" fontId="3" fillId="0" borderId="0" xfId="5" applyNumberFormat="1" applyFont="1" applyAlignment="1">
      <alignment wrapText="1"/>
    </xf>
    <xf numFmtId="0" fontId="3" fillId="0" borderId="0" xfId="12" applyFont="1" applyAlignment="1">
      <alignment vertical="center" wrapText="1"/>
    </xf>
    <xf numFmtId="2" fontId="3" fillId="0" borderId="0" xfId="12" applyNumberFormat="1" applyFont="1" applyAlignment="1">
      <alignment horizontal="right" vertical="center"/>
    </xf>
    <xf numFmtId="0" fontId="3" fillId="0" borderId="0" xfId="12" applyFont="1" applyAlignment="1">
      <alignment horizontal="right" vertical="center"/>
    </xf>
    <xf numFmtId="4" fontId="3" fillId="0" borderId="0" xfId="12" applyNumberFormat="1" applyFont="1" applyAlignment="1">
      <alignment horizontal="right" vertical="center"/>
    </xf>
    <xf numFmtId="4" fontId="3" fillId="0" borderId="0" xfId="3" quotePrefix="1" applyNumberFormat="1" applyFont="1" applyAlignment="1">
      <alignment horizontal="left"/>
    </xf>
    <xf numFmtId="0" fontId="3" fillId="0" borderId="0" xfId="3" applyFont="1" applyAlignment="1">
      <alignment vertical="center"/>
    </xf>
    <xf numFmtId="2" fontId="3" fillId="0" borderId="0" xfId="3" applyNumberFormat="1" applyFont="1" applyAlignment="1">
      <alignment horizontal="right" vertical="center"/>
    </xf>
    <xf numFmtId="2" fontId="3" fillId="0" borderId="0" xfId="3" applyNumberFormat="1" applyFont="1" applyAlignment="1">
      <alignment horizontal="right" vertical="center" wrapText="1"/>
    </xf>
    <xf numFmtId="4" fontId="4" fillId="0" borderId="0" xfId="3" quotePrefix="1" applyNumberFormat="1" applyFont="1" applyAlignment="1">
      <alignment horizontal="left"/>
    </xf>
    <xf numFmtId="0" fontId="11" fillId="0" borderId="0" xfId="0" applyFont="1"/>
    <xf numFmtId="39" fontId="3" fillId="0" borderId="0" xfId="5" applyNumberFormat="1" applyFont="1"/>
    <xf numFmtId="0" fontId="4" fillId="0" borderId="0" xfId="3" applyFont="1" applyAlignment="1">
      <alignment vertical="center"/>
    </xf>
    <xf numFmtId="4" fontId="3" fillId="0" borderId="0" xfId="3" applyNumberFormat="1" applyFont="1" applyAlignment="1">
      <alignment horizontal="right"/>
    </xf>
    <xf numFmtId="4" fontId="4" fillId="0" borderId="0" xfId="3" applyNumberFormat="1" applyFont="1" applyAlignment="1">
      <alignment horizontal="right"/>
    </xf>
    <xf numFmtId="0" fontId="3" fillId="0" borderId="0" xfId="3" applyFont="1" applyAlignment="1">
      <alignment vertical="center" wrapText="1"/>
    </xf>
    <xf numFmtId="0" fontId="3" fillId="0" borderId="0" xfId="3" applyFont="1" applyAlignment="1">
      <alignment horizontal="right"/>
    </xf>
    <xf numFmtId="166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justify"/>
    </xf>
    <xf numFmtId="4" fontId="3" fillId="0" borderId="0" xfId="3" quotePrefix="1" applyNumberFormat="1" applyFont="1" applyAlignment="1">
      <alignment horizontal="left" vertical="center"/>
    </xf>
    <xf numFmtId="164" fontId="3" fillId="0" borderId="0" xfId="0" applyNumberFormat="1" applyFont="1" applyAlignment="1">
      <alignment horizontal="justify" vertical="center"/>
    </xf>
    <xf numFmtId="39" fontId="3" fillId="0" borderId="0" xfId="5" applyNumberFormat="1" applyFont="1" applyAlignment="1">
      <alignment vertical="center" wrapText="1"/>
    </xf>
    <xf numFmtId="2" fontId="3" fillId="0" borderId="0" xfId="0" applyNumberFormat="1" applyFont="1" applyAlignment="1">
      <alignment horizontal="left" vertical="center"/>
    </xf>
    <xf numFmtId="4" fontId="3" fillId="0" borderId="0" xfId="0" quotePrefix="1" applyNumberFormat="1" applyFont="1" applyAlignment="1">
      <alignment horizontal="center" vertical="center"/>
    </xf>
    <xf numFmtId="0" fontId="3" fillId="0" borderId="0" xfId="3" applyFont="1" applyAlignment="1">
      <alignment horizontal="justify"/>
    </xf>
    <xf numFmtId="4" fontId="3" fillId="0" borderId="0" xfId="1" applyNumberFormat="1" applyFont="1" applyFill="1" applyAlignment="1">
      <alignment horizontal="center"/>
    </xf>
    <xf numFmtId="40" fontId="3" fillId="0" borderId="0" xfId="1" applyFont="1" applyFill="1" applyAlignment="1">
      <alignment horizontal="right" vertical="center" wrapText="1"/>
    </xf>
    <xf numFmtId="2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2" fontId="4" fillId="0" borderId="0" xfId="0" quotePrefix="1" applyNumberFormat="1" applyFont="1" applyAlignment="1">
      <alignment horizontal="left" vertical="center"/>
    </xf>
    <xf numFmtId="2" fontId="15" fillId="0" borderId="0" xfId="0" applyNumberFormat="1" applyFont="1" applyAlignment="1">
      <alignment horizontal="left" vertical="center" wrapText="1" shrinkToFit="1"/>
    </xf>
    <xf numFmtId="2" fontId="16" fillId="0" borderId="0" xfId="0" applyNumberFormat="1" applyFont="1" applyAlignment="1">
      <alignment horizontal="left" vertical="center" wrapText="1" shrinkToFit="1"/>
    </xf>
    <xf numFmtId="0" fontId="3" fillId="0" borderId="0" xfId="0" applyFont="1" applyAlignment="1">
      <alignment wrapText="1"/>
    </xf>
    <xf numFmtId="4" fontId="7" fillId="0" borderId="0" xfId="0" applyNumberFormat="1" applyFont="1" applyAlignment="1">
      <alignment horizontal="right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4" fillId="0" borderId="10" xfId="0" applyNumberFormat="1" applyFon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</cellXfs>
  <cellStyles count="15">
    <cellStyle name="Millares" xfId="1" builtinId="3"/>
    <cellStyle name="Millares 13" xfId="7" xr:uid="{00000000-0005-0000-0000-000001000000}"/>
    <cellStyle name="Millares 2" xfId="8" xr:uid="{00000000-0005-0000-0000-000002000000}"/>
    <cellStyle name="Millares 3" xfId="9" xr:uid="{00000000-0005-0000-0000-000003000000}"/>
    <cellStyle name="Moneda" xfId="2" builtinId="4"/>
    <cellStyle name="Normal" xfId="0" builtinId="0"/>
    <cellStyle name="Normal 11" xfId="13" xr:uid="{00000000-0005-0000-0000-000006000000}"/>
    <cellStyle name="Normal 2" xfId="3" xr:uid="{00000000-0005-0000-0000-000007000000}"/>
    <cellStyle name="Normal 2 2" xfId="6" xr:uid="{00000000-0005-0000-0000-000008000000}"/>
    <cellStyle name="Normal 2 2 2 2 2 2" xfId="10" xr:uid="{00000000-0005-0000-0000-000009000000}"/>
    <cellStyle name="Normal 2 2 2 3" xfId="12" xr:uid="{00000000-0005-0000-0000-00000A000000}"/>
    <cellStyle name="Normal 2 3" xfId="4" xr:uid="{00000000-0005-0000-0000-00000B000000}"/>
    <cellStyle name="Normal 3 2" xfId="5" xr:uid="{00000000-0005-0000-0000-00000C000000}"/>
    <cellStyle name="Normal 4" xfId="11" xr:uid="{00000000-0005-0000-0000-00000D000000}"/>
    <cellStyle name="Porcentaje" xfId="1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4440045</xdr:colOff>
      <xdr:row>0</xdr:row>
      <xdr:rowOff>0</xdr:rowOff>
    </xdr:from>
    <xdr:to>
      <xdr:col>2</xdr:col>
      <xdr:colOff>731799</xdr:colOff>
      <xdr:row>6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C8F9A5-724C-4A0C-9730-433D8DCA1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0533" y="0"/>
          <a:ext cx="1309803" cy="13021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BECC5-6FAC-47A2-96AA-666AF957EDFB}">
  <sheetPr transitionEntry="1"/>
  <dimension ref="A2:H466"/>
  <sheetViews>
    <sheetView showGridLines="0" showZeros="0" tabSelected="1" view="pageBreakPreview" topLeftCell="A321" zoomScale="82" zoomScaleNormal="100" zoomScaleSheetLayoutView="82" workbookViewId="0">
      <selection activeCell="F359" sqref="F359"/>
    </sheetView>
  </sheetViews>
  <sheetFormatPr baseColWidth="10" defaultColWidth="9.140625" defaultRowHeight="15.75" customHeight="1" x14ac:dyDescent="0.2"/>
  <cols>
    <col min="1" max="1" width="11.85546875" style="18" customWidth="1"/>
    <col min="2" max="2" width="75.28515625" style="17" customWidth="1"/>
    <col min="3" max="3" width="15.42578125" style="19" customWidth="1"/>
    <col min="4" max="4" width="11" style="20" customWidth="1"/>
    <col min="5" max="5" width="20.140625" style="19" customWidth="1"/>
    <col min="6" max="6" width="22" style="21" customWidth="1"/>
    <col min="7" max="7" width="21.85546875" style="19" customWidth="1"/>
    <col min="8" max="8" width="9.140625" style="17" customWidth="1"/>
    <col min="9" max="9" width="10.42578125" style="17" bestFit="1" customWidth="1"/>
    <col min="10" max="10" width="9.140625" style="17" customWidth="1"/>
    <col min="11" max="11" width="15.28515625" style="17" customWidth="1"/>
    <col min="12" max="16384" width="9.140625" style="17"/>
  </cols>
  <sheetData>
    <row r="2" spans="1:7" ht="18" customHeight="1" x14ac:dyDescent="0.2"/>
    <row r="3" spans="1:7" ht="18" customHeight="1" x14ac:dyDescent="0.2"/>
    <row r="7" spans="1:7" s="1" customFormat="1" ht="24" customHeight="1" x14ac:dyDescent="0.35">
      <c r="A7" s="169" t="s">
        <v>0</v>
      </c>
      <c r="B7" s="170"/>
      <c r="C7" s="170"/>
      <c r="D7" s="170"/>
      <c r="E7" s="170"/>
      <c r="F7" s="170"/>
      <c r="G7" s="171"/>
    </row>
    <row r="8" spans="1:7" s="1" customFormat="1" ht="10.5" customHeight="1" x14ac:dyDescent="0.35">
      <c r="A8" s="2"/>
      <c r="B8" s="3"/>
      <c r="C8" s="4"/>
      <c r="D8" s="5"/>
      <c r="E8" s="4"/>
      <c r="F8" s="6"/>
      <c r="G8" s="7"/>
    </row>
    <row r="9" spans="1:7" s="1" customFormat="1" ht="23.25" x14ac:dyDescent="0.35">
      <c r="A9" s="172" t="s">
        <v>178</v>
      </c>
      <c r="B9" s="173"/>
      <c r="C9" s="173"/>
      <c r="D9" s="173"/>
      <c r="E9" s="173"/>
      <c r="F9" s="173"/>
      <c r="G9" s="174"/>
    </row>
    <row r="10" spans="1:7" s="1" customFormat="1" ht="23.25" x14ac:dyDescent="0.35">
      <c r="A10" s="56" t="s">
        <v>181</v>
      </c>
      <c r="B10" s="59"/>
      <c r="C10" s="59"/>
      <c r="D10" s="57"/>
      <c r="E10" s="57"/>
      <c r="F10" s="57" t="s">
        <v>179</v>
      </c>
      <c r="G10" s="58"/>
    </row>
    <row r="11" spans="1:7" s="1" customFormat="1" ht="23.25" x14ac:dyDescent="0.35">
      <c r="A11" s="56" t="s">
        <v>1</v>
      </c>
      <c r="B11" s="59"/>
      <c r="C11" s="59"/>
      <c r="D11" s="57"/>
      <c r="E11" s="57"/>
      <c r="F11" s="57" t="s">
        <v>180</v>
      </c>
      <c r="G11" s="58"/>
    </row>
    <row r="12" spans="1:7" s="9" customFormat="1" ht="22.5" x14ac:dyDescent="0.3">
      <c r="A12" s="175"/>
      <c r="B12" s="176"/>
      <c r="C12" s="176"/>
      <c r="D12" s="176"/>
      <c r="E12" s="176"/>
      <c r="F12" s="176"/>
      <c r="G12" s="177"/>
    </row>
    <row r="13" spans="1:7" s="10" customFormat="1" ht="22.5" x14ac:dyDescent="0.3">
      <c r="A13" s="2" t="s">
        <v>2</v>
      </c>
      <c r="B13" s="55" t="s">
        <v>3</v>
      </c>
      <c r="C13" s="22" t="s">
        <v>4</v>
      </c>
      <c r="D13" s="23" t="s">
        <v>5</v>
      </c>
      <c r="E13" s="22" t="s">
        <v>6</v>
      </c>
      <c r="F13" s="24" t="s">
        <v>7</v>
      </c>
      <c r="G13" s="25" t="s">
        <v>8</v>
      </c>
    </row>
    <row r="14" spans="1:7" s="9" customFormat="1" ht="23.25" x14ac:dyDescent="0.35">
      <c r="A14" s="115">
        <v>1</v>
      </c>
      <c r="B14" s="80" t="s">
        <v>172</v>
      </c>
      <c r="C14" s="116"/>
      <c r="D14" s="116"/>
      <c r="E14" s="116"/>
      <c r="F14" s="29"/>
      <c r="G14" s="27"/>
    </row>
    <row r="15" spans="1:7" s="9" customFormat="1" ht="23.25" x14ac:dyDescent="0.35">
      <c r="A15" s="117">
        <f>A14+0.01</f>
        <v>1.01</v>
      </c>
      <c r="B15" s="78" t="s">
        <v>173</v>
      </c>
      <c r="C15" s="118">
        <v>1</v>
      </c>
      <c r="D15" s="119" t="s">
        <v>72</v>
      </c>
      <c r="E15" s="120"/>
      <c r="F15" s="29"/>
      <c r="G15" s="27"/>
    </row>
    <row r="16" spans="1:7" s="9" customFormat="1" ht="23.25" x14ac:dyDescent="0.35">
      <c r="A16" s="117">
        <f t="shared" ref="A16:A19" si="0">A15+0.01</f>
        <v>1.02</v>
      </c>
      <c r="B16" s="78" t="s">
        <v>174</v>
      </c>
      <c r="C16" s="118">
        <v>1</v>
      </c>
      <c r="D16" s="119" t="s">
        <v>72</v>
      </c>
      <c r="E16" s="120"/>
      <c r="F16" s="30"/>
      <c r="G16" s="27"/>
    </row>
    <row r="17" spans="1:7" s="9" customFormat="1" ht="23.25" x14ac:dyDescent="0.35">
      <c r="A17" s="117">
        <f t="shared" si="0"/>
        <v>1.03</v>
      </c>
      <c r="B17" s="78" t="s">
        <v>175</v>
      </c>
      <c r="C17" s="118">
        <v>1</v>
      </c>
      <c r="D17" s="119" t="s">
        <v>72</v>
      </c>
      <c r="E17" s="120"/>
      <c r="F17" s="29"/>
      <c r="G17" s="27"/>
    </row>
    <row r="18" spans="1:7" s="9" customFormat="1" ht="23.25" x14ac:dyDescent="0.35">
      <c r="A18" s="117">
        <f t="shared" si="0"/>
        <v>1.04</v>
      </c>
      <c r="B18" s="78" t="s">
        <v>182</v>
      </c>
      <c r="C18" s="118">
        <v>1</v>
      </c>
      <c r="D18" s="119" t="s">
        <v>169</v>
      </c>
      <c r="E18" s="120"/>
      <c r="F18" s="29"/>
      <c r="G18" s="27"/>
    </row>
    <row r="19" spans="1:7" s="9" customFormat="1" ht="46.5" x14ac:dyDescent="0.35">
      <c r="A19" s="117">
        <f t="shared" si="0"/>
        <v>1.05</v>
      </c>
      <c r="B19" s="78" t="s">
        <v>176</v>
      </c>
      <c r="C19" s="118">
        <v>101.25</v>
      </c>
      <c r="D19" s="119" t="s">
        <v>177</v>
      </c>
      <c r="E19" s="118"/>
      <c r="F19" s="30"/>
      <c r="G19" s="27"/>
    </row>
    <row r="20" spans="1:7" s="9" customFormat="1" ht="23.25" x14ac:dyDescent="0.35">
      <c r="A20" s="116"/>
      <c r="B20" s="116"/>
      <c r="C20" s="116"/>
      <c r="D20" s="116"/>
      <c r="E20" s="116"/>
      <c r="F20" s="29"/>
      <c r="G20" s="8"/>
    </row>
    <row r="21" spans="1:7" s="9" customFormat="1" ht="23.25" x14ac:dyDescent="0.35">
      <c r="A21" s="115">
        <v>2</v>
      </c>
      <c r="B21" s="75" t="s">
        <v>21</v>
      </c>
      <c r="C21" s="93"/>
      <c r="D21" s="77"/>
      <c r="E21" s="74"/>
      <c r="F21" s="29"/>
      <c r="G21" s="27"/>
    </row>
    <row r="22" spans="1:7" s="9" customFormat="1" ht="23.25" x14ac:dyDescent="0.35">
      <c r="A22" s="117">
        <f>A21+0.01</f>
        <v>2.0099999999999998</v>
      </c>
      <c r="B22" s="78" t="s">
        <v>22</v>
      </c>
      <c r="C22" s="93">
        <v>1</v>
      </c>
      <c r="D22" s="79" t="s">
        <v>65</v>
      </c>
      <c r="E22" s="120"/>
      <c r="F22" s="30"/>
      <c r="G22" s="27"/>
    </row>
    <row r="23" spans="1:7" s="9" customFormat="1" ht="23.25" x14ac:dyDescent="0.35">
      <c r="A23" s="117">
        <f t="shared" ref="A23:A33" si="1">A22+0.01</f>
        <v>2.0199999999999996</v>
      </c>
      <c r="B23" s="78" t="s">
        <v>23</v>
      </c>
      <c r="C23" s="93">
        <f>(13230.43)</f>
        <v>13230.43</v>
      </c>
      <c r="D23" s="79" t="s">
        <v>66</v>
      </c>
      <c r="E23" s="120"/>
      <c r="F23" s="30"/>
      <c r="G23" s="27"/>
    </row>
    <row r="24" spans="1:7" s="9" customFormat="1" ht="46.5" x14ac:dyDescent="0.35">
      <c r="A24" s="117">
        <f t="shared" si="1"/>
        <v>2.0299999999999994</v>
      </c>
      <c r="B24" s="78" t="s">
        <v>24</v>
      </c>
      <c r="C24" s="93">
        <f>C23*0.1</f>
        <v>1323.0430000000001</v>
      </c>
      <c r="D24" s="79" t="s">
        <v>67</v>
      </c>
      <c r="E24" s="120"/>
      <c r="F24" s="30"/>
      <c r="G24" s="27"/>
    </row>
    <row r="25" spans="1:7" s="9" customFormat="1" ht="23.25" x14ac:dyDescent="0.35">
      <c r="A25" s="117">
        <f t="shared" si="1"/>
        <v>2.0399999999999991</v>
      </c>
      <c r="B25" s="78" t="s">
        <v>25</v>
      </c>
      <c r="C25" s="93">
        <f>(1907.29+1677.94+1667.39+1869.08+1230.62+1297.85+640.32)</f>
        <v>10290.49</v>
      </c>
      <c r="D25" s="79" t="s">
        <v>66</v>
      </c>
      <c r="E25" s="120"/>
      <c r="F25" s="30"/>
      <c r="G25" s="27"/>
    </row>
    <row r="26" spans="1:7" s="9" customFormat="1" ht="46.5" x14ac:dyDescent="0.35">
      <c r="A26" s="117">
        <f t="shared" si="1"/>
        <v>2.0499999999999989</v>
      </c>
      <c r="B26" s="78" t="s">
        <v>26</v>
      </c>
      <c r="C26" s="93">
        <f>+C25*0.05</f>
        <v>514.52449999999999</v>
      </c>
      <c r="D26" s="79" t="s">
        <v>67</v>
      </c>
      <c r="E26" s="120"/>
      <c r="F26" s="30"/>
      <c r="G26" s="27"/>
    </row>
    <row r="27" spans="1:7" s="9" customFormat="1" ht="23.25" x14ac:dyDescent="0.35">
      <c r="A27" s="117">
        <f t="shared" si="1"/>
        <v>2.0599999999999987</v>
      </c>
      <c r="B27" s="78" t="s">
        <v>27</v>
      </c>
      <c r="C27" s="93">
        <f>(1053.16+27.34+83.81+307.65+240.18+194.36+194.09+241.02)*0.1</f>
        <v>234.16100000000003</v>
      </c>
      <c r="D27" s="79" t="s">
        <v>67</v>
      </c>
      <c r="E27" s="120"/>
      <c r="F27" s="30"/>
      <c r="G27" s="27"/>
    </row>
    <row r="28" spans="1:7" s="9" customFormat="1" ht="23.25" x14ac:dyDescent="0.35">
      <c r="A28" s="117">
        <f t="shared" si="1"/>
        <v>2.0699999999999985</v>
      </c>
      <c r="B28" s="78" t="s">
        <v>28</v>
      </c>
      <c r="C28" s="93">
        <v>1</v>
      </c>
      <c r="D28" s="79" t="s">
        <v>68</v>
      </c>
      <c r="E28" s="120"/>
      <c r="F28" s="30"/>
      <c r="G28" s="27"/>
    </row>
    <row r="29" spans="1:7" s="9" customFormat="1" ht="23.25" x14ac:dyDescent="0.35">
      <c r="A29" s="117">
        <f t="shared" si="1"/>
        <v>2.0799999999999983</v>
      </c>
      <c r="B29" s="78" t="s">
        <v>29</v>
      </c>
      <c r="C29" s="93">
        <v>1</v>
      </c>
      <c r="D29" s="79" t="s">
        <v>69</v>
      </c>
      <c r="E29" s="120"/>
      <c r="F29" s="30"/>
      <c r="G29" s="27"/>
    </row>
    <row r="30" spans="1:7" s="9" customFormat="1" ht="23.25" x14ac:dyDescent="0.35">
      <c r="A30" s="117">
        <f t="shared" si="1"/>
        <v>2.0899999999999981</v>
      </c>
      <c r="B30" s="78" t="s">
        <v>30</v>
      </c>
      <c r="C30" s="93">
        <v>1</v>
      </c>
      <c r="D30" s="79" t="s">
        <v>68</v>
      </c>
      <c r="E30" s="120"/>
      <c r="F30" s="30"/>
      <c r="G30" s="27"/>
    </row>
    <row r="31" spans="1:7" s="9" customFormat="1" ht="23.25" x14ac:dyDescent="0.35">
      <c r="A31" s="117">
        <f t="shared" si="1"/>
        <v>2.0999999999999979</v>
      </c>
      <c r="B31" s="78" t="s">
        <v>183</v>
      </c>
      <c r="C31" s="93">
        <v>1</v>
      </c>
      <c r="D31" s="119" t="s">
        <v>169</v>
      </c>
      <c r="E31" s="120"/>
      <c r="F31" s="30"/>
      <c r="G31" s="27"/>
    </row>
    <row r="32" spans="1:7" s="9" customFormat="1" ht="23.25" x14ac:dyDescent="0.35">
      <c r="A32" s="117">
        <f t="shared" si="1"/>
        <v>2.1099999999999977</v>
      </c>
      <c r="B32" s="78" t="s">
        <v>184</v>
      </c>
      <c r="C32" s="93">
        <f>C23*0.01</f>
        <v>132.30430000000001</v>
      </c>
      <c r="D32" s="119" t="s">
        <v>177</v>
      </c>
      <c r="E32" s="118"/>
      <c r="F32" s="30"/>
      <c r="G32" s="27"/>
    </row>
    <row r="33" spans="1:7" s="9" customFormat="1" ht="46.5" x14ac:dyDescent="0.35">
      <c r="A33" s="117">
        <f t="shared" si="1"/>
        <v>2.1199999999999974</v>
      </c>
      <c r="B33" s="78" t="s">
        <v>185</v>
      </c>
      <c r="C33" s="93">
        <f>C25</f>
        <v>10290.49</v>
      </c>
      <c r="D33" s="119" t="s">
        <v>186</v>
      </c>
      <c r="E33" s="120"/>
      <c r="F33" s="30"/>
      <c r="G33" s="27"/>
    </row>
    <row r="34" spans="1:7" s="9" customFormat="1" ht="23.25" x14ac:dyDescent="0.35">
      <c r="A34" s="72"/>
      <c r="B34" s="80"/>
      <c r="C34" s="113"/>
      <c r="D34" s="80"/>
      <c r="E34" s="74"/>
      <c r="F34" s="29"/>
      <c r="G34" s="8"/>
    </row>
    <row r="35" spans="1:7" s="9" customFormat="1" ht="23.25" x14ac:dyDescent="0.35">
      <c r="A35" s="115">
        <v>3</v>
      </c>
      <c r="B35" s="80" t="s">
        <v>187</v>
      </c>
      <c r="C35" s="116"/>
      <c r="D35" s="116"/>
      <c r="E35" s="116"/>
      <c r="F35" s="29"/>
      <c r="G35" s="27"/>
    </row>
    <row r="36" spans="1:7" s="9" customFormat="1" ht="23.25" x14ac:dyDescent="0.35">
      <c r="A36" s="117">
        <f>A35+0.01</f>
        <v>3.01</v>
      </c>
      <c r="B36" s="78" t="s">
        <v>188</v>
      </c>
      <c r="C36" s="118">
        <v>10</v>
      </c>
      <c r="D36" s="119" t="s">
        <v>189</v>
      </c>
      <c r="E36" s="118"/>
      <c r="F36" s="29"/>
      <c r="G36" s="27"/>
    </row>
    <row r="37" spans="1:7" s="9" customFormat="1" ht="46.5" x14ac:dyDescent="0.35">
      <c r="A37" s="117">
        <f t="shared" ref="A37:A41" si="2">A36+0.01</f>
        <v>3.0199999999999996</v>
      </c>
      <c r="B37" s="116" t="s">
        <v>190</v>
      </c>
      <c r="C37" s="118">
        <v>232</v>
      </c>
      <c r="D37" s="119" t="s">
        <v>191</v>
      </c>
      <c r="E37" s="120"/>
      <c r="F37" s="30"/>
      <c r="G37" s="27"/>
    </row>
    <row r="38" spans="1:7" s="9" customFormat="1" ht="23.25" x14ac:dyDescent="0.35">
      <c r="A38" s="117">
        <f t="shared" si="2"/>
        <v>3.0299999999999994</v>
      </c>
      <c r="B38" s="78" t="s">
        <v>192</v>
      </c>
      <c r="C38" s="118">
        <v>20</v>
      </c>
      <c r="D38" s="119" t="s">
        <v>191</v>
      </c>
      <c r="E38" s="120"/>
      <c r="F38" s="29"/>
      <c r="G38" s="27"/>
    </row>
    <row r="39" spans="1:7" s="9" customFormat="1" ht="23.25" x14ac:dyDescent="0.35">
      <c r="A39" s="117">
        <f t="shared" si="2"/>
        <v>3.0399999999999991</v>
      </c>
      <c r="B39" s="78" t="s">
        <v>193</v>
      </c>
      <c r="C39" s="118">
        <v>8</v>
      </c>
      <c r="D39" s="119" t="s">
        <v>189</v>
      </c>
      <c r="E39" s="120"/>
      <c r="F39" s="29"/>
      <c r="G39" s="27"/>
    </row>
    <row r="40" spans="1:7" s="9" customFormat="1" ht="23.25" x14ac:dyDescent="0.35">
      <c r="A40" s="117">
        <f t="shared" si="2"/>
        <v>3.0499999999999989</v>
      </c>
      <c r="B40" s="78" t="s">
        <v>194</v>
      </c>
      <c r="C40" s="118">
        <v>1</v>
      </c>
      <c r="D40" s="119" t="s">
        <v>195</v>
      </c>
      <c r="E40" s="120"/>
      <c r="F40" s="30"/>
      <c r="G40" s="27"/>
    </row>
    <row r="41" spans="1:7" s="9" customFormat="1" ht="46.5" x14ac:dyDescent="0.35">
      <c r="A41" s="117">
        <f t="shared" si="2"/>
        <v>3.0599999999999987</v>
      </c>
      <c r="B41" s="78" t="s">
        <v>196</v>
      </c>
      <c r="C41" s="118">
        <v>1</v>
      </c>
      <c r="D41" s="119" t="s">
        <v>195</v>
      </c>
      <c r="E41" s="120"/>
      <c r="F41" s="30"/>
      <c r="G41" s="27"/>
    </row>
    <row r="42" spans="1:7" s="9" customFormat="1" ht="23.25" x14ac:dyDescent="0.35">
      <c r="A42" s="116"/>
      <c r="B42" s="116"/>
      <c r="C42" s="116"/>
      <c r="D42" s="116"/>
      <c r="E42" s="116"/>
      <c r="F42" s="29"/>
      <c r="G42" s="8"/>
    </row>
    <row r="43" spans="1:7" s="9" customFormat="1" ht="23.25" x14ac:dyDescent="0.35">
      <c r="A43" s="115">
        <v>4</v>
      </c>
      <c r="B43" s="80" t="s">
        <v>197</v>
      </c>
      <c r="C43" s="116"/>
      <c r="D43" s="116"/>
      <c r="E43" s="116"/>
      <c r="F43" s="29"/>
      <c r="G43" s="27"/>
    </row>
    <row r="44" spans="1:7" s="9" customFormat="1" ht="46.5" x14ac:dyDescent="0.35">
      <c r="A44" s="117">
        <f>A43+0.01</f>
        <v>4.01</v>
      </c>
      <c r="B44" s="78" t="s">
        <v>198</v>
      </c>
      <c r="C44" s="118">
        <v>75.25</v>
      </c>
      <c r="D44" s="119" t="s">
        <v>199</v>
      </c>
      <c r="E44" s="120"/>
      <c r="F44" s="30"/>
      <c r="G44" s="27"/>
    </row>
    <row r="45" spans="1:7" s="9" customFormat="1" ht="46.5" x14ac:dyDescent="0.35">
      <c r="A45" s="117">
        <f t="shared" ref="A45:A51" si="3">A44+0.01</f>
        <v>4.0199999999999996</v>
      </c>
      <c r="B45" s="78" t="s">
        <v>200</v>
      </c>
      <c r="C45" s="118">
        <f>(53.22+44.22+35.22+26.22+21.72+17.22+12.72+8.23)*2</f>
        <v>437.53999999999996</v>
      </c>
      <c r="D45" s="119" t="s">
        <v>199</v>
      </c>
      <c r="E45" s="120"/>
      <c r="F45" s="30"/>
      <c r="G45" s="27"/>
    </row>
    <row r="46" spans="1:7" s="9" customFormat="1" ht="46.5" x14ac:dyDescent="0.35">
      <c r="A46" s="117">
        <f t="shared" si="3"/>
        <v>4.0299999999999994</v>
      </c>
      <c r="B46" s="78" t="s">
        <v>201</v>
      </c>
      <c r="C46" s="118">
        <f>(C44+C45)*0.3*0.6</f>
        <v>92.302199999999985</v>
      </c>
      <c r="D46" s="119" t="s">
        <v>135</v>
      </c>
      <c r="E46" s="120"/>
      <c r="F46" s="30"/>
      <c r="G46" s="27"/>
    </row>
    <row r="47" spans="1:7" s="9" customFormat="1" ht="46.5" x14ac:dyDescent="0.35">
      <c r="A47" s="117">
        <f t="shared" si="3"/>
        <v>4.0399999999999991</v>
      </c>
      <c r="B47" s="78" t="s">
        <v>202</v>
      </c>
      <c r="C47" s="118">
        <f>(C45+C46)* 0.6</f>
        <v>317.90531999999996</v>
      </c>
      <c r="D47" s="119" t="s">
        <v>203</v>
      </c>
      <c r="E47" s="120"/>
      <c r="F47" s="30"/>
      <c r="G47" s="27"/>
    </row>
    <row r="48" spans="1:7" s="9" customFormat="1" ht="46.5" x14ac:dyDescent="0.35">
      <c r="A48" s="117">
        <f t="shared" si="3"/>
        <v>4.0499999999999989</v>
      </c>
      <c r="B48" s="78" t="s">
        <v>204</v>
      </c>
      <c r="C48" s="118">
        <v>99</v>
      </c>
      <c r="D48" s="119" t="s">
        <v>135</v>
      </c>
      <c r="E48" s="120"/>
      <c r="F48" s="30"/>
      <c r="G48" s="27"/>
    </row>
    <row r="49" spans="1:7" s="9" customFormat="1" ht="46.5" x14ac:dyDescent="0.35">
      <c r="A49" s="117">
        <f t="shared" si="3"/>
        <v>4.0599999999999987</v>
      </c>
      <c r="B49" s="78" t="s">
        <v>205</v>
      </c>
      <c r="C49" s="118">
        <v>16.218</v>
      </c>
      <c r="D49" s="119" t="s">
        <v>135</v>
      </c>
      <c r="E49" s="120"/>
      <c r="F49" s="30"/>
      <c r="G49" s="27"/>
    </row>
    <row r="50" spans="1:7" s="9" customFormat="1" ht="23.25" x14ac:dyDescent="0.35">
      <c r="A50" s="117">
        <f t="shared" si="3"/>
        <v>4.0699999999999985</v>
      </c>
      <c r="B50" s="78" t="s">
        <v>207</v>
      </c>
      <c r="C50" s="118">
        <v>1</v>
      </c>
      <c r="D50" s="119" t="s">
        <v>5</v>
      </c>
      <c r="E50" s="120"/>
      <c r="F50" s="30"/>
      <c r="G50" s="27"/>
    </row>
    <row r="51" spans="1:7" s="9" customFormat="1" ht="23.25" x14ac:dyDescent="0.35">
      <c r="A51" s="117">
        <f t="shared" si="3"/>
        <v>4.0799999999999983</v>
      </c>
      <c r="B51" s="78" t="s">
        <v>206</v>
      </c>
      <c r="C51" s="118">
        <v>16</v>
      </c>
      <c r="D51" s="119" t="s">
        <v>5</v>
      </c>
      <c r="E51" s="120"/>
      <c r="F51" s="30"/>
      <c r="G51" s="27"/>
    </row>
    <row r="52" spans="1:7" s="9" customFormat="1" ht="23.25" x14ac:dyDescent="0.35">
      <c r="A52" s="115"/>
      <c r="B52" s="80"/>
      <c r="C52" s="116"/>
      <c r="D52" s="116"/>
      <c r="E52" s="116"/>
      <c r="F52" s="29"/>
      <c r="G52" s="8"/>
    </row>
    <row r="53" spans="1:7" s="9" customFormat="1" ht="23.25" x14ac:dyDescent="0.35">
      <c r="A53" s="72"/>
      <c r="B53" s="80"/>
      <c r="C53" s="113"/>
      <c r="D53" s="80"/>
      <c r="E53" s="74"/>
      <c r="F53" s="29"/>
      <c r="G53" s="27"/>
    </row>
    <row r="54" spans="1:7" s="9" customFormat="1" ht="23.25" x14ac:dyDescent="0.35">
      <c r="A54" s="115">
        <v>5</v>
      </c>
      <c r="B54" s="75" t="s">
        <v>31</v>
      </c>
      <c r="C54" s="114"/>
      <c r="D54" s="81"/>
      <c r="E54" s="74"/>
      <c r="F54" s="29"/>
      <c r="G54" s="27"/>
    </row>
    <row r="55" spans="1:7" s="9" customFormat="1" ht="23.25" x14ac:dyDescent="0.35">
      <c r="A55" s="117">
        <f>A54+0.01</f>
        <v>5.01</v>
      </c>
      <c r="B55" s="78" t="s">
        <v>32</v>
      </c>
      <c r="C55" s="114">
        <f>(27.27)</f>
        <v>27.27</v>
      </c>
      <c r="D55" s="79" t="s">
        <v>70</v>
      </c>
      <c r="E55" s="120"/>
      <c r="F55" s="29"/>
      <c r="G55" s="27"/>
    </row>
    <row r="56" spans="1:7" s="9" customFormat="1" ht="23.25" x14ac:dyDescent="0.35">
      <c r="A56" s="117">
        <f t="shared" ref="A56:A68" si="4">A55+0.01</f>
        <v>5.0199999999999996</v>
      </c>
      <c r="B56" s="78" t="s">
        <v>33</v>
      </c>
      <c r="C56" s="114">
        <f>(27.27)*2</f>
        <v>54.54</v>
      </c>
      <c r="D56" s="79" t="s">
        <v>70</v>
      </c>
      <c r="E56" s="120"/>
      <c r="F56" s="29"/>
      <c r="G56" s="27"/>
    </row>
    <row r="57" spans="1:7" s="9" customFormat="1" ht="23.25" x14ac:dyDescent="0.35">
      <c r="A57" s="117">
        <f t="shared" si="4"/>
        <v>5.0299999999999994</v>
      </c>
      <c r="B57" s="78" t="s">
        <v>34</v>
      </c>
      <c r="C57" s="114">
        <f>((27.27)*1.1)*2</f>
        <v>59.994000000000007</v>
      </c>
      <c r="D57" s="79" t="s">
        <v>66</v>
      </c>
      <c r="E57" s="120"/>
      <c r="F57" s="29"/>
      <c r="G57" s="8"/>
    </row>
    <row r="58" spans="1:7" s="9" customFormat="1" ht="46.5" x14ac:dyDescent="0.35">
      <c r="A58" s="117">
        <f t="shared" si="4"/>
        <v>5.0399999999999991</v>
      </c>
      <c r="B58" s="78" t="s">
        <v>35</v>
      </c>
      <c r="C58" s="114">
        <f>(25.23*1.1)*2+(25.23*0.15)</f>
        <v>59.290500000000009</v>
      </c>
      <c r="D58" s="79" t="s">
        <v>71</v>
      </c>
      <c r="E58" s="120"/>
      <c r="F58" s="29"/>
      <c r="G58" s="8"/>
    </row>
    <row r="59" spans="1:7" s="9" customFormat="1" ht="46.5" x14ac:dyDescent="0.35">
      <c r="A59" s="117">
        <f t="shared" si="4"/>
        <v>5.0499999999999989</v>
      </c>
      <c r="B59" s="78" t="s">
        <v>36</v>
      </c>
      <c r="C59" s="114">
        <f>(27.27*2)</f>
        <v>54.54</v>
      </c>
      <c r="D59" s="79" t="s">
        <v>70</v>
      </c>
      <c r="E59" s="120"/>
      <c r="F59" s="29"/>
      <c r="G59" s="8"/>
    </row>
    <row r="60" spans="1:7" s="9" customFormat="1" ht="46.5" x14ac:dyDescent="0.3">
      <c r="A60" s="117">
        <f t="shared" si="4"/>
        <v>5.0599999999999987</v>
      </c>
      <c r="B60" s="78" t="s">
        <v>37</v>
      </c>
      <c r="C60" s="114">
        <f>(27.27*2)</f>
        <v>54.54</v>
      </c>
      <c r="D60" s="79" t="s">
        <v>70</v>
      </c>
      <c r="E60" s="120"/>
      <c r="F60" s="30"/>
      <c r="G60" s="8"/>
    </row>
    <row r="61" spans="1:7" s="9" customFormat="1" ht="23.25" x14ac:dyDescent="0.35">
      <c r="A61" s="117"/>
      <c r="B61" s="80"/>
      <c r="C61" s="113"/>
      <c r="D61" s="80"/>
      <c r="E61" s="120"/>
      <c r="F61" s="29"/>
      <c r="G61" s="8"/>
    </row>
    <row r="62" spans="1:7" s="9" customFormat="1" ht="23.25" x14ac:dyDescent="0.35">
      <c r="A62" s="115">
        <v>6</v>
      </c>
      <c r="B62" s="75" t="s">
        <v>38</v>
      </c>
      <c r="C62" s="114"/>
      <c r="D62" s="81"/>
      <c r="E62" s="120"/>
      <c r="F62" s="29"/>
      <c r="G62" s="8"/>
    </row>
    <row r="63" spans="1:7" s="9" customFormat="1" ht="23.25" x14ac:dyDescent="0.35">
      <c r="A63" s="117">
        <f t="shared" si="4"/>
        <v>6.01</v>
      </c>
      <c r="B63" s="78" t="s">
        <v>39</v>
      </c>
      <c r="C63" s="114">
        <f>(6*2.22*0.2)*2+(2.2*2.22*0.2)*4</f>
        <v>9.2352000000000025</v>
      </c>
      <c r="D63" s="79" t="s">
        <v>67</v>
      </c>
      <c r="E63" s="120"/>
      <c r="F63" s="29"/>
      <c r="G63" s="8"/>
    </row>
    <row r="64" spans="1:7" s="9" customFormat="1" ht="23.25" x14ac:dyDescent="0.35">
      <c r="A64" s="117">
        <f t="shared" si="4"/>
        <v>6.02</v>
      </c>
      <c r="B64" s="78" t="s">
        <v>40</v>
      </c>
      <c r="C64" s="114">
        <f>(0.3*6*0.2)*4+(2.2*0.3*0.2)*4</f>
        <v>1.968</v>
      </c>
      <c r="D64" s="79" t="s">
        <v>67</v>
      </c>
      <c r="E64" s="120"/>
      <c r="F64" s="29"/>
      <c r="G64" s="8"/>
    </row>
    <row r="65" spans="1:7" s="9" customFormat="1" ht="23.25" x14ac:dyDescent="0.35">
      <c r="A65" s="117">
        <f t="shared" si="4"/>
        <v>6.0299999999999994</v>
      </c>
      <c r="B65" s="78" t="s">
        <v>41</v>
      </c>
      <c r="C65" s="114">
        <f>(17*0.15)*2</f>
        <v>5.0999999999999996</v>
      </c>
      <c r="D65" s="79" t="s">
        <v>67</v>
      </c>
      <c r="E65" s="120"/>
      <c r="F65" s="29"/>
      <c r="G65" s="8"/>
    </row>
    <row r="66" spans="1:7" s="9" customFormat="1" ht="23.25" x14ac:dyDescent="0.35">
      <c r="A66" s="117">
        <f t="shared" si="4"/>
        <v>6.0399999999999991</v>
      </c>
      <c r="B66" s="78" t="s">
        <v>42</v>
      </c>
      <c r="C66" s="114">
        <f>(14*0.1)*2</f>
        <v>2.8000000000000003</v>
      </c>
      <c r="D66" s="79" t="s">
        <v>67</v>
      </c>
      <c r="E66" s="120"/>
      <c r="F66" s="29"/>
      <c r="G66" s="8"/>
    </row>
    <row r="67" spans="1:7" s="9" customFormat="1" ht="46.5" x14ac:dyDescent="0.3">
      <c r="A67" s="117">
        <f t="shared" si="4"/>
        <v>6.0499999999999989</v>
      </c>
      <c r="B67" s="78" t="s">
        <v>43</v>
      </c>
      <c r="C67" s="114">
        <f>(6*0.6*0.15)*2</f>
        <v>1.0799999999999998</v>
      </c>
      <c r="D67" s="79" t="s">
        <v>67</v>
      </c>
      <c r="E67" s="120"/>
      <c r="F67" s="30"/>
      <c r="G67" s="8"/>
    </row>
    <row r="68" spans="1:7" s="9" customFormat="1" ht="46.5" x14ac:dyDescent="0.3">
      <c r="A68" s="117">
        <f t="shared" si="4"/>
        <v>6.0599999999999987</v>
      </c>
      <c r="B68" s="78" t="s">
        <v>44</v>
      </c>
      <c r="C68" s="114">
        <f>(0.6*0.51*0.15)*8</f>
        <v>0.36719999999999997</v>
      </c>
      <c r="D68" s="79" t="s">
        <v>67</v>
      </c>
      <c r="E68" s="120"/>
      <c r="F68" s="30"/>
      <c r="G68" s="8"/>
    </row>
    <row r="69" spans="1:7" s="9" customFormat="1" ht="23.25" x14ac:dyDescent="0.35">
      <c r="A69" s="117"/>
      <c r="B69" s="80"/>
      <c r="C69" s="113"/>
      <c r="D69" s="80"/>
      <c r="E69" s="120"/>
      <c r="F69" s="29"/>
      <c r="G69" s="8"/>
    </row>
    <row r="70" spans="1:7" s="9" customFormat="1" ht="45" x14ac:dyDescent="0.35">
      <c r="A70" s="126">
        <v>7</v>
      </c>
      <c r="B70" s="127" t="s">
        <v>210</v>
      </c>
      <c r="C70" s="27"/>
      <c r="D70" s="27"/>
      <c r="E70" s="27"/>
      <c r="F70" s="28"/>
      <c r="G70" s="8"/>
    </row>
    <row r="71" spans="1:7" s="9" customFormat="1" ht="23.25" x14ac:dyDescent="0.35">
      <c r="A71" s="128">
        <f>A70+0.01</f>
        <v>7.01</v>
      </c>
      <c r="B71" s="121" t="s">
        <v>211</v>
      </c>
      <c r="C71" s="94"/>
      <c r="D71" s="94"/>
      <c r="E71" s="129"/>
      <c r="F71" s="94"/>
      <c r="G71" s="8"/>
    </row>
    <row r="72" spans="1:7" s="9" customFormat="1" ht="23.25" x14ac:dyDescent="0.35">
      <c r="A72" s="130">
        <f>A71+0.01</f>
        <v>7.02</v>
      </c>
      <c r="B72" s="131" t="s">
        <v>212</v>
      </c>
      <c r="C72" s="94">
        <f>(8.45+1)*(4.4+1)*2</f>
        <v>102.06</v>
      </c>
      <c r="D72" s="94" t="s">
        <v>213</v>
      </c>
      <c r="E72" s="129"/>
      <c r="F72" s="94"/>
      <c r="G72" s="8"/>
    </row>
    <row r="73" spans="1:7" s="9" customFormat="1" ht="23.25" x14ac:dyDescent="0.35">
      <c r="A73" s="130"/>
      <c r="B73" s="131"/>
      <c r="C73" s="94"/>
      <c r="D73" s="94"/>
      <c r="E73" s="129"/>
      <c r="F73" s="94"/>
      <c r="G73" s="8"/>
    </row>
    <row r="74" spans="1:7" s="9" customFormat="1" ht="23.25" x14ac:dyDescent="0.35">
      <c r="A74" s="128">
        <f>A72+0.01</f>
        <v>7.0299999999999994</v>
      </c>
      <c r="B74" s="121" t="s">
        <v>214</v>
      </c>
      <c r="C74" s="94"/>
      <c r="D74" s="94"/>
      <c r="E74" s="129"/>
      <c r="F74" s="94"/>
      <c r="G74" s="8"/>
    </row>
    <row r="75" spans="1:7" s="9" customFormat="1" ht="23.25" x14ac:dyDescent="0.3">
      <c r="A75" s="130">
        <f>A74+0.01</f>
        <v>7.0399999999999991</v>
      </c>
      <c r="B75" s="131" t="s">
        <v>215</v>
      </c>
      <c r="C75" s="94">
        <f>(0.45*0.9*((38.45)))*2</f>
        <v>31.144500000000004</v>
      </c>
      <c r="D75" s="94" t="s">
        <v>67</v>
      </c>
      <c r="E75" s="132"/>
      <c r="F75" s="94"/>
      <c r="G75" s="8"/>
    </row>
    <row r="76" spans="1:7" s="9" customFormat="1" ht="46.5" x14ac:dyDescent="0.3">
      <c r="A76" s="130">
        <f t="shared" ref="A76:A80" si="5">A75+0.01</f>
        <v>7.0499999999999989</v>
      </c>
      <c r="B76" s="131" t="s">
        <v>216</v>
      </c>
      <c r="C76" s="94">
        <f>1*1*0.9*8*2</f>
        <v>14.4</v>
      </c>
      <c r="D76" s="94" t="s">
        <v>67</v>
      </c>
      <c r="E76" s="132"/>
      <c r="F76" s="94"/>
      <c r="G76" s="8"/>
    </row>
    <row r="77" spans="1:7" s="9" customFormat="1" ht="23.25" x14ac:dyDescent="0.3">
      <c r="A77" s="130">
        <f t="shared" si="5"/>
        <v>7.0599999999999987</v>
      </c>
      <c r="B77" s="131" t="s">
        <v>217</v>
      </c>
      <c r="C77" s="94">
        <f>((0.45-0.15)*(0.9-0.3)*((38.45))*1.3)*2</f>
        <v>17.994600000000005</v>
      </c>
      <c r="D77" s="133" t="s">
        <v>67</v>
      </c>
      <c r="E77" s="132"/>
      <c r="F77" s="132"/>
      <c r="G77" s="8"/>
    </row>
    <row r="78" spans="1:7" s="9" customFormat="1" ht="23.25" x14ac:dyDescent="0.3">
      <c r="A78" s="130">
        <f t="shared" si="5"/>
        <v>7.0699999999999985</v>
      </c>
      <c r="B78" s="131" t="s">
        <v>218</v>
      </c>
      <c r="C78" s="94">
        <f>(1*1-0.15*0.3)*(0.9-0.3)*4*1.3*2</f>
        <v>5.9592000000000009</v>
      </c>
      <c r="D78" s="133" t="s">
        <v>67</v>
      </c>
      <c r="E78" s="132"/>
      <c r="F78" s="132"/>
      <c r="G78" s="8"/>
    </row>
    <row r="79" spans="1:7" s="9" customFormat="1" ht="23.25" x14ac:dyDescent="0.3">
      <c r="A79" s="130">
        <f t="shared" si="5"/>
        <v>7.0799999999999983</v>
      </c>
      <c r="B79" s="131" t="s">
        <v>219</v>
      </c>
      <c r="C79" s="94">
        <f>(6.35*2.2*0.07)*1.3*2</f>
        <v>2.5425400000000002</v>
      </c>
      <c r="D79" s="133" t="s">
        <v>67</v>
      </c>
      <c r="E79" s="132"/>
      <c r="F79" s="132"/>
      <c r="G79" s="8"/>
    </row>
    <row r="80" spans="1:7" s="9" customFormat="1" ht="46.5" x14ac:dyDescent="0.3">
      <c r="A80" s="130">
        <f t="shared" si="5"/>
        <v>7.0899999999999981</v>
      </c>
      <c r="B80" s="131" t="s">
        <v>220</v>
      </c>
      <c r="C80" s="94">
        <f>(C75+C76-C77-C78-C79)*1.3*2</f>
        <v>49.525216</v>
      </c>
      <c r="D80" s="133" t="s">
        <v>67</v>
      </c>
      <c r="E80" s="132"/>
      <c r="F80" s="132"/>
      <c r="G80" s="8"/>
    </row>
    <row r="81" spans="1:7" s="9" customFormat="1" ht="23.25" x14ac:dyDescent="0.35">
      <c r="A81" s="130"/>
      <c r="B81" s="131"/>
      <c r="C81" s="94"/>
      <c r="D81" s="94"/>
      <c r="E81" s="129"/>
      <c r="F81" s="94"/>
      <c r="G81" s="8"/>
    </row>
    <row r="82" spans="1:7" s="9" customFormat="1" ht="23.25" x14ac:dyDescent="0.35">
      <c r="A82" s="128">
        <f>A74+0.01</f>
        <v>7.0399999999999991</v>
      </c>
      <c r="B82" s="121" t="s">
        <v>221</v>
      </c>
      <c r="C82" s="94"/>
      <c r="D82" s="94"/>
      <c r="E82" s="129"/>
      <c r="F82" s="94"/>
      <c r="G82" s="8"/>
    </row>
    <row r="83" spans="1:7" s="9" customFormat="1" ht="46.5" x14ac:dyDescent="0.3">
      <c r="A83" s="130">
        <f>A82+0.01</f>
        <v>7.0499999999999989</v>
      </c>
      <c r="B83" s="131" t="s">
        <v>222</v>
      </c>
      <c r="C83" s="94">
        <f>(0.45*0.3*((38.45)))*2</f>
        <v>10.381500000000001</v>
      </c>
      <c r="D83" s="94" t="s">
        <v>67</v>
      </c>
      <c r="E83" s="94"/>
      <c r="F83" s="94"/>
      <c r="G83" s="8"/>
    </row>
    <row r="84" spans="1:7" s="9" customFormat="1" ht="46.5" x14ac:dyDescent="0.3">
      <c r="A84" s="130">
        <f t="shared" ref="A84:A88" si="6">A83+0.01</f>
        <v>7.0599999999999987</v>
      </c>
      <c r="B84" s="131" t="s">
        <v>223</v>
      </c>
      <c r="C84" s="94">
        <f>1*1*0.3*8*2</f>
        <v>4.8</v>
      </c>
      <c r="D84" s="94" t="s">
        <v>224</v>
      </c>
      <c r="E84" s="94"/>
      <c r="F84" s="94"/>
      <c r="G84" s="8"/>
    </row>
    <row r="85" spans="1:7" s="9" customFormat="1" ht="46.5" x14ac:dyDescent="0.3">
      <c r="A85" s="130">
        <f t="shared" si="6"/>
        <v>7.0699999999999985</v>
      </c>
      <c r="B85" s="131" t="s">
        <v>225</v>
      </c>
      <c r="C85" s="94">
        <f>0.15*0.2*(2.6+0.6)*8*2</f>
        <v>1.536</v>
      </c>
      <c r="D85" s="94" t="s">
        <v>67</v>
      </c>
      <c r="E85" s="94"/>
      <c r="F85" s="94"/>
      <c r="G85" s="8"/>
    </row>
    <row r="86" spans="1:7" s="9" customFormat="1" ht="46.5" x14ac:dyDescent="0.3">
      <c r="A86" s="130">
        <f t="shared" si="6"/>
        <v>7.0799999999999983</v>
      </c>
      <c r="B86" s="131" t="s">
        <v>226</v>
      </c>
      <c r="C86" s="94">
        <f>((43.3)*0.15*0.2)*2</f>
        <v>2.5979999999999999</v>
      </c>
      <c r="D86" s="94" t="s">
        <v>67</v>
      </c>
      <c r="E86" s="94"/>
      <c r="F86" s="94"/>
      <c r="G86" s="8"/>
    </row>
    <row r="87" spans="1:7" s="9" customFormat="1" ht="46.5" x14ac:dyDescent="0.35">
      <c r="A87" s="130">
        <f t="shared" si="6"/>
        <v>7.0899999999999981</v>
      </c>
      <c r="B87" s="134" t="s">
        <v>227</v>
      </c>
      <c r="C87" s="94">
        <f>(45.25*0.12)*2</f>
        <v>10.86</v>
      </c>
      <c r="D87" s="94" t="s">
        <v>67</v>
      </c>
      <c r="E87" s="132"/>
      <c r="F87" s="132"/>
      <c r="G87" s="8"/>
    </row>
    <row r="88" spans="1:7" s="9" customFormat="1" ht="46.5" x14ac:dyDescent="0.3">
      <c r="A88" s="130">
        <f t="shared" si="6"/>
        <v>7.0999999999999979</v>
      </c>
      <c r="B88" s="135" t="s">
        <v>228</v>
      </c>
      <c r="C88" s="136">
        <f>40.725*2</f>
        <v>81.45</v>
      </c>
      <c r="D88" s="137" t="s">
        <v>224</v>
      </c>
      <c r="E88" s="138"/>
      <c r="F88" s="138"/>
      <c r="G88" s="8"/>
    </row>
    <row r="89" spans="1:7" s="9" customFormat="1" ht="23.25" x14ac:dyDescent="0.35">
      <c r="A89" s="139"/>
      <c r="B89" s="140"/>
      <c r="C89" s="141"/>
      <c r="D89" s="133"/>
      <c r="E89" s="132"/>
      <c r="F89" s="132"/>
      <c r="G89" s="8"/>
    </row>
    <row r="90" spans="1:7" s="9" customFormat="1" ht="23.25" x14ac:dyDescent="0.35">
      <c r="A90" s="128">
        <f>A88+0.01</f>
        <v>7.1099999999999977</v>
      </c>
      <c r="B90" s="121" t="s">
        <v>229</v>
      </c>
      <c r="C90" s="94"/>
      <c r="D90" s="94"/>
      <c r="E90" s="129"/>
      <c r="F90" s="94"/>
      <c r="G90" s="8"/>
    </row>
    <row r="91" spans="1:7" s="9" customFormat="1" ht="46.5" x14ac:dyDescent="0.3">
      <c r="A91" s="130">
        <f>A90+0.01</f>
        <v>7.1199999999999974</v>
      </c>
      <c r="B91" s="155" t="s">
        <v>230</v>
      </c>
      <c r="C91" s="142">
        <f>134.23*2</f>
        <v>268.45999999999998</v>
      </c>
      <c r="D91" s="133" t="s">
        <v>224</v>
      </c>
      <c r="E91" s="94"/>
      <c r="F91" s="132"/>
      <c r="G91" s="8"/>
    </row>
    <row r="92" spans="1:7" s="9" customFormat="1" ht="23.25" x14ac:dyDescent="0.35">
      <c r="A92" s="139"/>
      <c r="B92" s="140"/>
      <c r="C92" s="141"/>
      <c r="D92" s="133"/>
      <c r="E92" s="132"/>
      <c r="F92" s="132"/>
      <c r="G92" s="8"/>
    </row>
    <row r="93" spans="1:7" s="9" customFormat="1" ht="23.25" x14ac:dyDescent="0.35">
      <c r="A93" s="143">
        <f>A91+0.01</f>
        <v>7.1299999999999972</v>
      </c>
      <c r="B93" s="144" t="s">
        <v>231</v>
      </c>
      <c r="C93" s="27"/>
      <c r="D93" s="1"/>
      <c r="E93" s="1"/>
      <c r="F93" s="1"/>
      <c r="G93" s="8"/>
    </row>
    <row r="94" spans="1:7" s="9" customFormat="1" ht="23.25" x14ac:dyDescent="0.35">
      <c r="A94" s="130">
        <f>A93+0.01</f>
        <v>7.139999999999997</v>
      </c>
      <c r="B94" s="131" t="s">
        <v>232</v>
      </c>
      <c r="C94" s="27">
        <f>0.55*0.7*0.5*4*2</f>
        <v>1.54</v>
      </c>
      <c r="D94" s="28" t="s">
        <v>67</v>
      </c>
      <c r="E94" s="132"/>
      <c r="F94" s="29"/>
      <c r="G94" s="8"/>
    </row>
    <row r="95" spans="1:7" s="9" customFormat="1" ht="23.25" x14ac:dyDescent="0.3">
      <c r="A95" s="130">
        <f t="shared" ref="A95:A102" si="7">A94+0.01</f>
        <v>7.1499999999999968</v>
      </c>
      <c r="B95" s="131" t="s">
        <v>217</v>
      </c>
      <c r="C95" s="94">
        <f>((0.45-0.15)*(0.7-0.3)*0.5*4)*1.3*2</f>
        <v>0.62400000000000011</v>
      </c>
      <c r="D95" s="133" t="s">
        <v>67</v>
      </c>
      <c r="E95" s="132"/>
      <c r="F95" s="132"/>
      <c r="G95" s="8"/>
    </row>
    <row r="96" spans="1:7" s="9" customFormat="1" ht="46.5" x14ac:dyDescent="0.3">
      <c r="A96" s="130">
        <f t="shared" si="7"/>
        <v>7.1599999999999966</v>
      </c>
      <c r="B96" s="131" t="s">
        <v>220</v>
      </c>
      <c r="C96" s="94">
        <f>(C94-C95)*1.3</f>
        <v>1.1907999999999999</v>
      </c>
      <c r="D96" s="133" t="s">
        <v>67</v>
      </c>
      <c r="E96" s="132"/>
      <c r="F96" s="132"/>
      <c r="G96" s="8"/>
    </row>
    <row r="97" spans="1:7" s="9" customFormat="1" ht="46.5" x14ac:dyDescent="0.3">
      <c r="A97" s="130">
        <f t="shared" si="7"/>
        <v>7.1699999999999964</v>
      </c>
      <c r="B97" s="131" t="s">
        <v>233</v>
      </c>
      <c r="C97" s="94">
        <f>0.55*0.3*0.5*4*2</f>
        <v>0.66</v>
      </c>
      <c r="D97" s="94" t="s">
        <v>67</v>
      </c>
      <c r="E97" s="94"/>
      <c r="F97" s="94"/>
      <c r="G97" s="8"/>
    </row>
    <row r="98" spans="1:7" s="9" customFormat="1" ht="23.25" x14ac:dyDescent="0.35">
      <c r="A98" s="130">
        <f t="shared" si="7"/>
        <v>7.1799999999999962</v>
      </c>
      <c r="B98" s="145" t="s">
        <v>234</v>
      </c>
      <c r="C98" s="142">
        <f>0.55*4*(0.4+0.4)*2</f>
        <v>3.5200000000000005</v>
      </c>
      <c r="D98" s="133" t="s">
        <v>224</v>
      </c>
      <c r="E98" s="94"/>
      <c r="F98" s="132"/>
      <c r="G98" s="8"/>
    </row>
    <row r="99" spans="1:7" s="9" customFormat="1" ht="23.25" x14ac:dyDescent="0.35">
      <c r="A99" s="130">
        <f t="shared" si="7"/>
        <v>7.1899999999999959</v>
      </c>
      <c r="B99" s="145" t="s">
        <v>235</v>
      </c>
      <c r="C99" s="27">
        <f>0.5*4*0.42*2</f>
        <v>1.68</v>
      </c>
      <c r="D99" s="28" t="s">
        <v>224</v>
      </c>
      <c r="E99" s="29"/>
      <c r="F99" s="29"/>
      <c r="G99" s="8"/>
    </row>
    <row r="100" spans="1:7" s="9" customFormat="1" ht="23.25" x14ac:dyDescent="0.3">
      <c r="A100" s="130">
        <f t="shared" si="7"/>
        <v>7.1999999999999957</v>
      </c>
      <c r="B100" s="140" t="s">
        <v>236</v>
      </c>
      <c r="C100" s="141">
        <f>0.42*2*4*2</f>
        <v>6.72</v>
      </c>
      <c r="D100" s="133" t="s">
        <v>70</v>
      </c>
      <c r="E100" s="132"/>
      <c r="F100" s="132"/>
      <c r="G100" s="8"/>
    </row>
    <row r="101" spans="1:7" s="9" customFormat="1" ht="23.25" x14ac:dyDescent="0.3">
      <c r="A101" s="130">
        <f t="shared" si="7"/>
        <v>7.2099999999999955</v>
      </c>
      <c r="B101" s="131" t="s">
        <v>237</v>
      </c>
      <c r="C101" s="94">
        <f>7.15*0.5*0.12*2</f>
        <v>0.85799999999999998</v>
      </c>
      <c r="D101" s="94" t="s">
        <v>67</v>
      </c>
      <c r="E101" s="132"/>
      <c r="F101" s="132"/>
      <c r="G101" s="8"/>
    </row>
    <row r="102" spans="1:7" s="9" customFormat="1" ht="23.25" x14ac:dyDescent="0.35">
      <c r="A102" s="130">
        <f t="shared" si="7"/>
        <v>7.2199999999999953</v>
      </c>
      <c r="B102" s="1" t="s">
        <v>238</v>
      </c>
      <c r="C102" s="27">
        <f>C99+0.12*7.5*2</f>
        <v>3.4799999999999995</v>
      </c>
      <c r="D102" s="28" t="s">
        <v>224</v>
      </c>
      <c r="E102" s="29"/>
      <c r="F102" s="29"/>
      <c r="G102" s="8"/>
    </row>
    <row r="103" spans="1:7" s="9" customFormat="1" ht="23.25" x14ac:dyDescent="0.35">
      <c r="A103" s="139"/>
      <c r="B103" s="140"/>
      <c r="C103" s="141"/>
      <c r="D103" s="133"/>
      <c r="E103" s="132"/>
      <c r="F103" s="132"/>
      <c r="G103" s="8"/>
    </row>
    <row r="104" spans="1:7" s="9" customFormat="1" ht="23.25" x14ac:dyDescent="0.3">
      <c r="A104" s="143">
        <f>A102+0.01</f>
        <v>7.2299999999999951</v>
      </c>
      <c r="B104" s="146" t="s">
        <v>239</v>
      </c>
      <c r="C104" s="133"/>
      <c r="D104" s="133"/>
      <c r="E104" s="132"/>
      <c r="F104" s="132"/>
      <c r="G104" s="8"/>
    </row>
    <row r="105" spans="1:7" s="9" customFormat="1" ht="23.25" x14ac:dyDescent="0.35">
      <c r="A105" s="139">
        <f>A104+0.01</f>
        <v>7.2399999999999949</v>
      </c>
      <c r="B105" s="140" t="s">
        <v>240</v>
      </c>
      <c r="C105" s="142">
        <f>(C91*2+45.25-44.88)*2</f>
        <v>1074.58</v>
      </c>
      <c r="D105" s="133" t="s">
        <v>224</v>
      </c>
      <c r="E105" s="147"/>
      <c r="F105" s="132"/>
      <c r="G105" s="8"/>
    </row>
    <row r="106" spans="1:7" s="9" customFormat="1" ht="23.25" x14ac:dyDescent="0.35">
      <c r="A106" s="139">
        <f t="shared" ref="A106:A108" si="8">A105+0.01</f>
        <v>7.2499999999999947</v>
      </c>
      <c r="B106" s="140" t="s">
        <v>241</v>
      </c>
      <c r="C106" s="142">
        <f>C105</f>
        <v>1074.58</v>
      </c>
      <c r="D106" s="133" t="s">
        <v>224</v>
      </c>
      <c r="E106" s="147"/>
      <c r="F106" s="132"/>
      <c r="G106" s="8"/>
    </row>
    <row r="107" spans="1:7" s="9" customFormat="1" ht="23.25" x14ac:dyDescent="0.35">
      <c r="A107" s="139">
        <f t="shared" si="8"/>
        <v>7.2599999999999945</v>
      </c>
      <c r="B107" s="140" t="s">
        <v>236</v>
      </c>
      <c r="C107" s="141">
        <f>(2.3*4+5.7*2+0.5*2+5.7*2+0.27*2)*2</f>
        <v>67.08</v>
      </c>
      <c r="D107" s="133" t="s">
        <v>70</v>
      </c>
      <c r="E107" s="132"/>
      <c r="F107" s="132"/>
      <c r="G107" s="8"/>
    </row>
    <row r="108" spans="1:7" s="9" customFormat="1" ht="23.25" x14ac:dyDescent="0.35">
      <c r="A108" s="139">
        <f t="shared" si="8"/>
        <v>7.2699999999999942</v>
      </c>
      <c r="B108" s="140" t="s">
        <v>242</v>
      </c>
      <c r="C108" s="141">
        <f>45.25*2</f>
        <v>90.5</v>
      </c>
      <c r="D108" s="133" t="s">
        <v>224</v>
      </c>
      <c r="E108" s="132"/>
      <c r="F108" s="132"/>
      <c r="G108" s="8"/>
    </row>
    <row r="109" spans="1:7" s="9" customFormat="1" ht="23.25" x14ac:dyDescent="0.35">
      <c r="A109" s="139"/>
      <c r="B109" s="140"/>
      <c r="C109" s="141"/>
      <c r="D109" s="133"/>
      <c r="E109" s="132"/>
      <c r="F109" s="132"/>
      <c r="G109" s="8"/>
    </row>
    <row r="110" spans="1:7" s="9" customFormat="1" ht="23.25" x14ac:dyDescent="0.3">
      <c r="A110" s="143">
        <f>A108+0.01</f>
        <v>7.279999999999994</v>
      </c>
      <c r="B110" s="146" t="s">
        <v>243</v>
      </c>
      <c r="C110" s="141"/>
      <c r="D110" s="133"/>
      <c r="E110" s="132"/>
      <c r="F110" s="132"/>
      <c r="G110" s="148"/>
    </row>
    <row r="111" spans="1:7" s="9" customFormat="1" ht="23.25" x14ac:dyDescent="0.35">
      <c r="A111" s="139">
        <f>A110+0.01</f>
        <v>7.2899999999999938</v>
      </c>
      <c r="B111" s="145" t="s">
        <v>244</v>
      </c>
      <c r="C111" s="141">
        <f>C106</f>
        <v>1074.58</v>
      </c>
      <c r="D111" s="133" t="s">
        <v>224</v>
      </c>
      <c r="E111" s="132"/>
      <c r="F111" s="132"/>
      <c r="G111" s="148"/>
    </row>
    <row r="112" spans="1:7" s="9" customFormat="1" ht="46.5" x14ac:dyDescent="0.35">
      <c r="A112" s="139">
        <f t="shared" ref="A112:A113" si="9">A111+0.01</f>
        <v>7.2999999999999936</v>
      </c>
      <c r="B112" s="149" t="s">
        <v>245</v>
      </c>
      <c r="C112" s="141">
        <v>41.5</v>
      </c>
      <c r="D112" s="133" t="s">
        <v>71</v>
      </c>
      <c r="E112" s="132"/>
      <c r="F112" s="132"/>
      <c r="G112" s="148"/>
    </row>
    <row r="113" spans="1:7" s="9" customFormat="1" ht="46.5" x14ac:dyDescent="0.35">
      <c r="A113" s="139">
        <f t="shared" si="9"/>
        <v>7.3099999999999934</v>
      </c>
      <c r="B113" s="149" t="s">
        <v>246</v>
      </c>
      <c r="C113" s="141">
        <f>((9.35*2.4)*2+11.52)</f>
        <v>56.399999999999991</v>
      </c>
      <c r="D113" s="133" t="s">
        <v>71</v>
      </c>
      <c r="E113" s="132"/>
      <c r="F113" s="132"/>
      <c r="G113" s="148"/>
    </row>
    <row r="114" spans="1:7" s="9" customFormat="1" ht="23.25" x14ac:dyDescent="0.35">
      <c r="A114" s="139"/>
      <c r="B114" s="140"/>
      <c r="C114" s="141"/>
      <c r="D114" s="133"/>
      <c r="E114" s="132"/>
      <c r="F114" s="150"/>
      <c r="G114" s="148"/>
    </row>
    <row r="115" spans="1:7" s="9" customFormat="1" ht="23.25" x14ac:dyDescent="0.35">
      <c r="A115" s="128">
        <f>A111+0.01</f>
        <v>7.2999999999999936</v>
      </c>
      <c r="B115" s="121" t="s">
        <v>247</v>
      </c>
      <c r="C115" s="94"/>
      <c r="D115" s="94"/>
      <c r="E115" s="129"/>
      <c r="F115" s="94"/>
      <c r="G115" s="8"/>
    </row>
    <row r="116" spans="1:7" s="9" customFormat="1" ht="46.5" x14ac:dyDescent="0.35">
      <c r="A116" s="139">
        <f>A115+0.01</f>
        <v>7.3099999999999934</v>
      </c>
      <c r="B116" s="134" t="s">
        <v>248</v>
      </c>
      <c r="C116" s="94">
        <v>4</v>
      </c>
      <c r="D116" s="94" t="s">
        <v>72</v>
      </c>
      <c r="E116" s="151"/>
      <c r="F116" s="94"/>
      <c r="G116" s="8"/>
    </row>
    <row r="117" spans="1:7" s="9" customFormat="1" ht="46.5" x14ac:dyDescent="0.35">
      <c r="A117" s="139">
        <f t="shared" ref="A117:A131" si="10">A116+0.01</f>
        <v>7.3199999999999932</v>
      </c>
      <c r="B117" s="134" t="s">
        <v>249</v>
      </c>
      <c r="C117" s="94">
        <v>4</v>
      </c>
      <c r="D117" s="94" t="s">
        <v>72</v>
      </c>
      <c r="E117" s="151"/>
      <c r="F117" s="94"/>
      <c r="G117" s="8"/>
    </row>
    <row r="118" spans="1:7" s="9" customFormat="1" ht="23.25" x14ac:dyDescent="0.35">
      <c r="A118" s="139">
        <f t="shared" si="10"/>
        <v>7.329999999999993</v>
      </c>
      <c r="B118" s="145" t="s">
        <v>250</v>
      </c>
      <c r="C118" s="94">
        <v>6</v>
      </c>
      <c r="D118" s="94" t="s">
        <v>72</v>
      </c>
      <c r="E118" s="129"/>
      <c r="F118" s="94"/>
      <c r="G118" s="8"/>
    </row>
    <row r="119" spans="1:7" s="9" customFormat="1" ht="27.75" x14ac:dyDescent="0.35">
      <c r="A119" s="139">
        <f t="shared" si="10"/>
        <v>7.3399999999999928</v>
      </c>
      <c r="B119" s="145" t="s">
        <v>251</v>
      </c>
      <c r="C119" s="94">
        <f>1.8*0.6*3*10.76*2</f>
        <v>69.724800000000002</v>
      </c>
      <c r="D119" s="94" t="s">
        <v>252</v>
      </c>
      <c r="E119" s="129"/>
      <c r="F119" s="94"/>
      <c r="G119" s="8"/>
    </row>
    <row r="120" spans="1:7" s="9" customFormat="1" ht="23.25" x14ac:dyDescent="0.35">
      <c r="A120" s="139">
        <f t="shared" si="10"/>
        <v>7.3499999999999925</v>
      </c>
      <c r="B120" s="131" t="s">
        <v>253</v>
      </c>
      <c r="C120" s="94">
        <f>1.6*5.7*2</f>
        <v>18.240000000000002</v>
      </c>
      <c r="D120" s="94" t="s">
        <v>224</v>
      </c>
      <c r="E120" s="94"/>
      <c r="F120" s="94"/>
      <c r="G120" s="8"/>
    </row>
    <row r="121" spans="1:7" s="9" customFormat="1" ht="46.5" x14ac:dyDescent="0.3">
      <c r="A121" s="153">
        <f t="shared" si="10"/>
        <v>7.3599999999999923</v>
      </c>
      <c r="B121" s="154" t="s">
        <v>254</v>
      </c>
      <c r="C121" s="94">
        <f>1*2.1*2</f>
        <v>4.2</v>
      </c>
      <c r="D121" s="94" t="s">
        <v>224</v>
      </c>
      <c r="E121" s="94"/>
      <c r="F121" s="94"/>
      <c r="G121" s="8"/>
    </row>
    <row r="122" spans="1:7" s="9" customFormat="1" ht="69.75" x14ac:dyDescent="0.3">
      <c r="A122" s="153">
        <f t="shared" si="10"/>
        <v>7.3699999999999921</v>
      </c>
      <c r="B122" s="154" t="s">
        <v>45</v>
      </c>
      <c r="C122" s="94">
        <v>1</v>
      </c>
      <c r="D122" s="94" t="s">
        <v>72</v>
      </c>
      <c r="E122" s="94"/>
      <c r="F122" s="94"/>
      <c r="G122" s="8"/>
    </row>
    <row r="123" spans="1:7" s="9" customFormat="1" ht="46.5" x14ac:dyDescent="0.3">
      <c r="A123" s="153">
        <f t="shared" si="10"/>
        <v>7.3799999999999919</v>
      </c>
      <c r="B123" s="78" t="s">
        <v>316</v>
      </c>
      <c r="C123" s="114">
        <f>0.7*1.4*8</f>
        <v>7.839999999999999</v>
      </c>
      <c r="D123" s="94" t="s">
        <v>71</v>
      </c>
      <c r="E123" s="94"/>
      <c r="F123" s="94"/>
      <c r="G123" s="8"/>
    </row>
    <row r="124" spans="1:7" s="9" customFormat="1" ht="46.5" x14ac:dyDescent="0.3">
      <c r="A124" s="153">
        <f t="shared" si="10"/>
        <v>7.3899999999999917</v>
      </c>
      <c r="B124" s="78" t="s">
        <v>52</v>
      </c>
      <c r="C124" s="114">
        <f>(0.7*1.4)*8*16</f>
        <v>125.43999999999998</v>
      </c>
      <c r="D124" s="94" t="s">
        <v>71</v>
      </c>
      <c r="E124" s="94"/>
      <c r="F124" s="94"/>
      <c r="G124" s="8"/>
    </row>
    <row r="125" spans="1:7" s="9" customFormat="1" ht="46.5" x14ac:dyDescent="0.3">
      <c r="A125" s="153">
        <f t="shared" si="10"/>
        <v>7.3999999999999915</v>
      </c>
      <c r="B125" s="78" t="s">
        <v>317</v>
      </c>
      <c r="C125" s="114">
        <f>4*0.6*1.4*10.76</f>
        <v>36.153599999999997</v>
      </c>
      <c r="D125" s="94" t="s">
        <v>310</v>
      </c>
      <c r="E125" s="94"/>
      <c r="F125" s="94"/>
      <c r="G125" s="8"/>
    </row>
    <row r="126" spans="1:7" s="9" customFormat="1" ht="46.5" x14ac:dyDescent="0.3">
      <c r="A126" s="153">
        <f t="shared" si="10"/>
        <v>7.4099999999999913</v>
      </c>
      <c r="B126" s="78" t="s">
        <v>318</v>
      </c>
      <c r="C126" s="114">
        <f>C125</f>
        <v>36.153599999999997</v>
      </c>
      <c r="D126" s="94" t="s">
        <v>71</v>
      </c>
      <c r="E126" s="94"/>
      <c r="F126" s="94"/>
      <c r="G126" s="8"/>
    </row>
    <row r="127" spans="1:7" s="9" customFormat="1" ht="46.5" x14ac:dyDescent="0.3">
      <c r="A127" s="153">
        <f t="shared" si="10"/>
        <v>7.419999999999991</v>
      </c>
      <c r="B127" s="78" t="s">
        <v>53</v>
      </c>
      <c r="C127" s="114">
        <v>4</v>
      </c>
      <c r="D127" s="94" t="s">
        <v>72</v>
      </c>
      <c r="E127" s="94"/>
      <c r="F127" s="94"/>
      <c r="G127" s="8"/>
    </row>
    <row r="128" spans="1:7" s="9" customFormat="1" ht="46.5" x14ac:dyDescent="0.3">
      <c r="A128" s="153">
        <f t="shared" si="10"/>
        <v>7.4299999999999908</v>
      </c>
      <c r="B128" s="78" t="s">
        <v>54</v>
      </c>
      <c r="C128" s="114">
        <v>8</v>
      </c>
      <c r="D128" s="94" t="s">
        <v>72</v>
      </c>
      <c r="E128" s="94"/>
      <c r="F128" s="94"/>
      <c r="G128" s="8"/>
    </row>
    <row r="129" spans="1:7" s="9" customFormat="1" ht="46.5" x14ac:dyDescent="0.3">
      <c r="A129" s="153">
        <f t="shared" si="10"/>
        <v>7.4399999999999906</v>
      </c>
      <c r="B129" s="78" t="s">
        <v>55</v>
      </c>
      <c r="C129" s="114">
        <v>4</v>
      </c>
      <c r="D129" s="94" t="s">
        <v>72</v>
      </c>
      <c r="E129" s="94"/>
      <c r="F129" s="94"/>
      <c r="G129" s="8"/>
    </row>
    <row r="130" spans="1:7" s="9" customFormat="1" ht="46.5" x14ac:dyDescent="0.3">
      <c r="A130" s="153">
        <f t="shared" si="10"/>
        <v>7.4499999999999904</v>
      </c>
      <c r="B130" s="78" t="s">
        <v>56</v>
      </c>
      <c r="C130" s="114">
        <v>4</v>
      </c>
      <c r="D130" s="94" t="s">
        <v>72</v>
      </c>
      <c r="E130" s="94"/>
      <c r="F130" s="94"/>
      <c r="G130" s="8"/>
    </row>
    <row r="131" spans="1:7" s="9" customFormat="1" ht="69.75" x14ac:dyDescent="0.3">
      <c r="A131" s="153">
        <f t="shared" si="10"/>
        <v>7.4599999999999902</v>
      </c>
      <c r="B131" s="78" t="s">
        <v>57</v>
      </c>
      <c r="C131" s="114">
        <v>2</v>
      </c>
      <c r="D131" s="94" t="s">
        <v>72</v>
      </c>
      <c r="E131" s="94"/>
      <c r="F131" s="94"/>
      <c r="G131" s="8"/>
    </row>
    <row r="132" spans="1:7" s="9" customFormat="1" ht="23.25" x14ac:dyDescent="0.3">
      <c r="A132" s="153"/>
      <c r="B132" s="154"/>
      <c r="C132" s="94"/>
      <c r="D132" s="94"/>
      <c r="E132" s="94"/>
      <c r="F132" s="94"/>
      <c r="G132" s="8"/>
    </row>
    <row r="133" spans="1:7" s="9" customFormat="1" ht="23.25" x14ac:dyDescent="0.3">
      <c r="A133" s="153"/>
      <c r="B133" s="154"/>
      <c r="C133" s="94"/>
      <c r="D133" s="94"/>
      <c r="E133" s="94"/>
      <c r="F133" s="94"/>
      <c r="G133" s="8"/>
    </row>
    <row r="134" spans="1:7" s="9" customFormat="1" ht="23.25" x14ac:dyDescent="0.35">
      <c r="A134" s="165">
        <v>8</v>
      </c>
      <c r="B134" s="75" t="s">
        <v>46</v>
      </c>
      <c r="C134" s="114"/>
      <c r="D134" s="81"/>
      <c r="E134" s="94"/>
      <c r="F134" s="27"/>
      <c r="G134" s="8"/>
    </row>
    <row r="135" spans="1:7" s="9" customFormat="1" ht="23.25" x14ac:dyDescent="0.3">
      <c r="A135" s="166">
        <f>A134+0.01</f>
        <v>8.01</v>
      </c>
      <c r="B135" s="78" t="s">
        <v>47</v>
      </c>
      <c r="C135" s="114">
        <f>(7.1*0.2)*14</f>
        <v>19.88</v>
      </c>
      <c r="D135" s="79" t="s">
        <v>67</v>
      </c>
      <c r="E135" s="94"/>
      <c r="F135" s="94"/>
      <c r="G135" s="8"/>
    </row>
    <row r="136" spans="1:7" s="9" customFormat="1" ht="23.25" x14ac:dyDescent="0.3">
      <c r="A136" s="166">
        <f>A135+0.01</f>
        <v>8.02</v>
      </c>
      <c r="B136" s="78" t="s">
        <v>48</v>
      </c>
      <c r="C136" s="114">
        <f>(18.3*0.6*0.1)*12</f>
        <v>13.176000000000002</v>
      </c>
      <c r="D136" s="79" t="s">
        <v>67</v>
      </c>
      <c r="E136" s="94"/>
      <c r="F136" s="94"/>
      <c r="G136" s="8"/>
    </row>
    <row r="137" spans="1:7" s="9" customFormat="1" ht="23.25" x14ac:dyDescent="0.3">
      <c r="A137" s="166">
        <f>A136+0.01</f>
        <v>8.0299999999999994</v>
      </c>
      <c r="B137" s="78" t="s">
        <v>49</v>
      </c>
      <c r="C137" s="114">
        <f>(18.3*0.7*0.1)*2</f>
        <v>2.5620000000000003</v>
      </c>
      <c r="D137" s="79" t="s">
        <v>67</v>
      </c>
      <c r="E137" s="94"/>
      <c r="F137" s="94"/>
      <c r="G137" s="8"/>
    </row>
    <row r="138" spans="1:7" s="9" customFormat="1" ht="46.5" x14ac:dyDescent="0.3">
      <c r="A138" s="166">
        <f>A137+0.01</f>
        <v>8.0399999999999991</v>
      </c>
      <c r="B138" s="78" t="s">
        <v>50</v>
      </c>
      <c r="C138" s="114">
        <f>(18.3*2)</f>
        <v>36.6</v>
      </c>
      <c r="D138" s="79" t="s">
        <v>70</v>
      </c>
      <c r="E138" s="94"/>
      <c r="F138" s="94"/>
      <c r="G138" s="8"/>
    </row>
    <row r="139" spans="1:7" s="9" customFormat="1" ht="23.25" x14ac:dyDescent="0.35">
      <c r="A139" s="139"/>
      <c r="B139" s="152"/>
      <c r="C139" s="27"/>
      <c r="D139" s="27"/>
      <c r="E139" s="27"/>
      <c r="F139" s="27"/>
      <c r="G139" s="8"/>
    </row>
    <row r="140" spans="1:7" s="9" customFormat="1" ht="45" x14ac:dyDescent="0.35">
      <c r="A140" s="128">
        <v>9</v>
      </c>
      <c r="B140" s="75" t="s">
        <v>315</v>
      </c>
      <c r="C140" s="94"/>
      <c r="D140" s="94"/>
      <c r="E140" s="94"/>
      <c r="F140" s="1"/>
      <c r="G140" s="125"/>
    </row>
    <row r="141" spans="1:7" s="9" customFormat="1" ht="23.25" x14ac:dyDescent="0.35">
      <c r="A141" s="156">
        <f>A140+0.01</f>
        <v>9.01</v>
      </c>
      <c r="B141" s="78" t="s">
        <v>255</v>
      </c>
      <c r="C141" s="27">
        <f>C151*0.2+C150+C153+C154+C148</f>
        <v>48.920000000000009</v>
      </c>
      <c r="D141" s="87" t="s">
        <v>67</v>
      </c>
      <c r="E141" s="94"/>
      <c r="F141" s="94"/>
      <c r="G141" s="125"/>
    </row>
    <row r="142" spans="1:7" s="9" customFormat="1" ht="23.25" x14ac:dyDescent="0.2">
      <c r="A142" s="156">
        <f t="shared" ref="A142:A168" si="11">A141+0.01</f>
        <v>9.02</v>
      </c>
      <c r="B142" s="154" t="s">
        <v>212</v>
      </c>
      <c r="C142" s="94">
        <f>18.8*4.4*2</f>
        <v>165.44000000000003</v>
      </c>
      <c r="D142" s="133" t="s">
        <v>224</v>
      </c>
      <c r="E142" s="151"/>
      <c r="F142" s="94"/>
      <c r="G142" s="125"/>
    </row>
    <row r="143" spans="1:7" s="9" customFormat="1" ht="46.5" x14ac:dyDescent="0.2">
      <c r="A143" s="156">
        <f t="shared" si="11"/>
        <v>9.0299999999999994</v>
      </c>
      <c r="B143" s="154" t="s">
        <v>256</v>
      </c>
      <c r="C143" s="94">
        <f>0.6*1*(18+3.2*6)*2</f>
        <v>44.64</v>
      </c>
      <c r="D143" s="94" t="s">
        <v>67</v>
      </c>
      <c r="E143" s="151"/>
      <c r="F143" s="94"/>
      <c r="G143" s="125"/>
    </row>
    <row r="144" spans="1:7" s="9" customFormat="1" ht="23.25" x14ac:dyDescent="0.2">
      <c r="A144" s="156">
        <f t="shared" si="11"/>
        <v>9.0399999999999991</v>
      </c>
      <c r="B144" s="154" t="s">
        <v>257</v>
      </c>
      <c r="C144" s="94">
        <f>1*1*1*6*2</f>
        <v>12</v>
      </c>
      <c r="D144" s="94" t="s">
        <v>67</v>
      </c>
      <c r="E144" s="151"/>
      <c r="F144" s="94"/>
      <c r="G144" s="125"/>
    </row>
    <row r="145" spans="1:7" s="9" customFormat="1" ht="46.5" x14ac:dyDescent="0.2">
      <c r="A145" s="156">
        <f t="shared" si="11"/>
        <v>9.0499999999999989</v>
      </c>
      <c r="B145" s="154" t="s">
        <v>258</v>
      </c>
      <c r="C145" s="94">
        <f>0.6*0.7*(18+3.2*6)*2</f>
        <v>31.248000000000001</v>
      </c>
      <c r="D145" s="94" t="s">
        <v>67</v>
      </c>
      <c r="E145" s="151"/>
      <c r="F145" s="94"/>
      <c r="G145" s="125"/>
    </row>
    <row r="146" spans="1:7" s="9" customFormat="1" ht="46.5" x14ac:dyDescent="0.2">
      <c r="A146" s="156">
        <f t="shared" si="11"/>
        <v>9.0599999999999987</v>
      </c>
      <c r="B146" s="154" t="s">
        <v>259</v>
      </c>
      <c r="C146" s="94">
        <f>1*1*0.7*6*2</f>
        <v>8.3999999999999986</v>
      </c>
      <c r="D146" s="94" t="s">
        <v>67</v>
      </c>
      <c r="E146" s="151"/>
      <c r="F146" s="94"/>
      <c r="G146" s="125"/>
    </row>
    <row r="147" spans="1:7" s="9" customFormat="1" ht="46.5" x14ac:dyDescent="0.2">
      <c r="A147" s="156">
        <f t="shared" si="11"/>
        <v>9.0699999999999985</v>
      </c>
      <c r="B147" s="154" t="s">
        <v>260</v>
      </c>
      <c r="C147" s="94">
        <f>(C143-C145+C144-C146)*1.35*2</f>
        <v>45.878400000000006</v>
      </c>
      <c r="D147" s="94" t="s">
        <v>67</v>
      </c>
      <c r="E147" s="151"/>
      <c r="F147" s="94"/>
      <c r="G147" s="125"/>
    </row>
    <row r="148" spans="1:7" s="9" customFormat="1" ht="46.5" x14ac:dyDescent="0.2">
      <c r="A148" s="156">
        <f t="shared" si="11"/>
        <v>9.0799999999999983</v>
      </c>
      <c r="B148" s="154" t="s">
        <v>261</v>
      </c>
      <c r="C148" s="94">
        <f>0.6*0.3*(18+3.2*6)*2</f>
        <v>13.392000000000001</v>
      </c>
      <c r="D148" s="94" t="s">
        <v>67</v>
      </c>
      <c r="E148" s="151"/>
      <c r="F148" s="94"/>
      <c r="G148" s="125"/>
    </row>
    <row r="149" spans="1:7" s="9" customFormat="1" ht="69.75" x14ac:dyDescent="0.2">
      <c r="A149" s="156">
        <f t="shared" si="11"/>
        <v>9.0899999999999981</v>
      </c>
      <c r="B149" s="154" t="s">
        <v>262</v>
      </c>
      <c r="C149" s="94">
        <f>1*1*0.3*6*2</f>
        <v>3.5999999999999996</v>
      </c>
      <c r="D149" s="94" t="s">
        <v>67</v>
      </c>
      <c r="E149" s="151"/>
      <c r="F149" s="94"/>
      <c r="G149" s="125"/>
    </row>
    <row r="150" spans="1:7" s="9" customFormat="1" ht="46.5" x14ac:dyDescent="0.2">
      <c r="A150" s="156">
        <f t="shared" si="11"/>
        <v>9.0999999999999979</v>
      </c>
      <c r="B150" s="154" t="s">
        <v>263</v>
      </c>
      <c r="C150" s="94">
        <f>0.2*0.2*(18+3.2*6)*2</f>
        <v>2.9760000000000009</v>
      </c>
      <c r="D150" s="94" t="s">
        <v>67</v>
      </c>
      <c r="E150" s="151"/>
      <c r="F150" s="94"/>
      <c r="G150" s="125"/>
    </row>
    <row r="151" spans="1:7" s="9" customFormat="1" ht="23.25" x14ac:dyDescent="0.2">
      <c r="A151" s="156">
        <f t="shared" si="11"/>
        <v>9.1099999999999977</v>
      </c>
      <c r="B151" s="154" t="s">
        <v>264</v>
      </c>
      <c r="C151" s="94">
        <f>(4*5+7.2+1*18)*2</f>
        <v>90.4</v>
      </c>
      <c r="D151" s="94" t="s">
        <v>224</v>
      </c>
      <c r="E151" s="151"/>
      <c r="F151" s="94"/>
      <c r="G151" s="125"/>
    </row>
    <row r="152" spans="1:7" s="9" customFormat="1" ht="46.5" x14ac:dyDescent="0.2">
      <c r="A152" s="156"/>
      <c r="B152" s="78" t="s">
        <v>51</v>
      </c>
      <c r="C152" s="114">
        <f>(7.12*10)</f>
        <v>71.2</v>
      </c>
      <c r="D152" s="94" t="s">
        <v>71</v>
      </c>
      <c r="E152" s="151"/>
      <c r="F152" s="94"/>
      <c r="G152" s="125"/>
    </row>
    <row r="153" spans="1:7" s="9" customFormat="1" ht="46.5" x14ac:dyDescent="0.2">
      <c r="A153" s="156">
        <f>A151+0.01</f>
        <v>9.1199999999999974</v>
      </c>
      <c r="B153" s="154" t="s">
        <v>265</v>
      </c>
      <c r="C153" s="94">
        <f>(0.2*0.2*2.7*7)*2</f>
        <v>1.5120000000000005</v>
      </c>
      <c r="D153" s="94" t="s">
        <v>67</v>
      </c>
      <c r="E153" s="151"/>
      <c r="F153" s="94"/>
      <c r="G153" s="125"/>
    </row>
    <row r="154" spans="1:7" s="9" customFormat="1" ht="46.5" x14ac:dyDescent="0.2">
      <c r="A154" s="156">
        <f t="shared" si="11"/>
        <v>9.1299999999999972</v>
      </c>
      <c r="B154" s="154" t="s">
        <v>266</v>
      </c>
      <c r="C154" s="94">
        <f>(0.6*18*0.12*5)*2</f>
        <v>12.959999999999997</v>
      </c>
      <c r="D154" s="94" t="s">
        <v>67</v>
      </c>
      <c r="E154" s="151"/>
      <c r="F154" s="94"/>
      <c r="G154" s="125"/>
    </row>
    <row r="155" spans="1:7" s="9" customFormat="1" ht="23.25" x14ac:dyDescent="0.2">
      <c r="A155" s="156">
        <f t="shared" si="11"/>
        <v>9.139999999999997</v>
      </c>
      <c r="B155" s="154" t="s">
        <v>267</v>
      </c>
      <c r="C155" s="94">
        <f>(18*0.6*4+18*0.12*5*2+2*0.2*3*6*2)*2</f>
        <v>158.4</v>
      </c>
      <c r="D155" s="94" t="s">
        <v>224</v>
      </c>
      <c r="E155" s="151"/>
      <c r="F155" s="94"/>
      <c r="G155" s="125"/>
    </row>
    <row r="156" spans="1:7" s="9" customFormat="1" ht="23.25" x14ac:dyDescent="0.2">
      <c r="A156" s="156">
        <f t="shared" si="11"/>
        <v>9.1499999999999968</v>
      </c>
      <c r="B156" s="154" t="s">
        <v>268</v>
      </c>
      <c r="C156" s="94">
        <f>C151*2+C155*2</f>
        <v>497.6</v>
      </c>
      <c r="D156" s="94" t="s">
        <v>224</v>
      </c>
      <c r="E156" s="151"/>
      <c r="F156" s="94"/>
      <c r="G156" s="125"/>
    </row>
    <row r="157" spans="1:7" s="9" customFormat="1" ht="23.25" x14ac:dyDescent="0.2">
      <c r="A157" s="156">
        <f t="shared" si="11"/>
        <v>9.1599999999999966</v>
      </c>
      <c r="B157" s="154" t="s">
        <v>269</v>
      </c>
      <c r="C157" s="94">
        <f>(18*2*5+0.3*2*5*5+5.12*4+18*4)*2</f>
        <v>574.96</v>
      </c>
      <c r="D157" s="94" t="s">
        <v>70</v>
      </c>
      <c r="E157" s="151"/>
      <c r="F157" s="94"/>
      <c r="G157" s="125"/>
    </row>
    <row r="158" spans="1:7" s="9" customFormat="1" ht="23.25" x14ac:dyDescent="0.2">
      <c r="A158" s="156">
        <f t="shared" si="11"/>
        <v>9.1699999999999964</v>
      </c>
      <c r="B158" s="154" t="s">
        <v>270</v>
      </c>
      <c r="C158" s="94">
        <f>C156</f>
        <v>497.6</v>
      </c>
      <c r="D158" s="94" t="s">
        <v>224</v>
      </c>
      <c r="E158" s="151"/>
      <c r="F158" s="94"/>
      <c r="G158" s="125"/>
    </row>
    <row r="159" spans="1:7" s="9" customFormat="1" ht="46.5" x14ac:dyDescent="0.2">
      <c r="A159" s="156">
        <f t="shared" si="11"/>
        <v>9.1799999999999962</v>
      </c>
      <c r="B159" s="154" t="s">
        <v>271</v>
      </c>
      <c r="C159" s="94">
        <f>18*2</f>
        <v>36</v>
      </c>
      <c r="D159" s="94" t="s">
        <v>70</v>
      </c>
      <c r="E159" s="151"/>
      <c r="F159" s="94"/>
      <c r="G159" s="125"/>
    </row>
    <row r="160" spans="1:7" s="9" customFormat="1" ht="46.5" x14ac:dyDescent="0.2">
      <c r="A160" s="156">
        <f t="shared" si="11"/>
        <v>9.1899999999999959</v>
      </c>
      <c r="B160" s="154" t="s">
        <v>272</v>
      </c>
      <c r="C160" s="94">
        <v>53.4</v>
      </c>
      <c r="D160" s="94" t="s">
        <v>224</v>
      </c>
      <c r="E160" s="151"/>
      <c r="F160" s="94"/>
      <c r="G160" s="125"/>
    </row>
    <row r="161" spans="1:7" s="9" customFormat="1" ht="46.5" x14ac:dyDescent="0.2">
      <c r="A161" s="156">
        <f t="shared" si="11"/>
        <v>9.1999999999999957</v>
      </c>
      <c r="B161" s="154" t="s">
        <v>273</v>
      </c>
      <c r="C161" s="94">
        <v>35.22</v>
      </c>
      <c r="D161" s="94" t="s">
        <v>70</v>
      </c>
      <c r="E161" s="151"/>
      <c r="F161" s="94"/>
      <c r="G161" s="125"/>
    </row>
    <row r="162" spans="1:7" s="9" customFormat="1" ht="46.5" x14ac:dyDescent="0.2">
      <c r="A162" s="156">
        <f t="shared" si="11"/>
        <v>9.2099999999999955</v>
      </c>
      <c r="B162" s="154" t="s">
        <v>274</v>
      </c>
      <c r="C162" s="94">
        <v>52</v>
      </c>
      <c r="D162" s="94" t="s">
        <v>70</v>
      </c>
      <c r="E162" s="151"/>
      <c r="F162" s="94"/>
      <c r="G162" s="125"/>
    </row>
    <row r="163" spans="1:7" s="9" customFormat="1" ht="46.5" x14ac:dyDescent="0.2">
      <c r="A163" s="156">
        <f t="shared" si="11"/>
        <v>9.2199999999999953</v>
      </c>
      <c r="B163" s="154" t="s">
        <v>275</v>
      </c>
      <c r="C163" s="94">
        <v>52</v>
      </c>
      <c r="D163" s="94" t="s">
        <v>70</v>
      </c>
      <c r="E163" s="151"/>
      <c r="F163" s="94"/>
      <c r="G163" s="125"/>
    </row>
    <row r="164" spans="1:7" s="9" customFormat="1" ht="46.5" x14ac:dyDescent="0.2">
      <c r="A164" s="156">
        <f t="shared" si="11"/>
        <v>9.2299999999999951</v>
      </c>
      <c r="B164" s="154" t="s">
        <v>276</v>
      </c>
      <c r="C164" s="94">
        <v>62.4</v>
      </c>
      <c r="D164" s="94" t="s">
        <v>224</v>
      </c>
      <c r="E164" s="151"/>
      <c r="F164" s="94"/>
      <c r="G164" s="125"/>
    </row>
    <row r="165" spans="1:7" s="9" customFormat="1" ht="46.5" x14ac:dyDescent="0.2">
      <c r="A165" s="156">
        <f t="shared" si="11"/>
        <v>9.2399999999999949</v>
      </c>
      <c r="B165" s="154" t="s">
        <v>277</v>
      </c>
      <c r="C165" s="94">
        <f>0.72*2.1*4</f>
        <v>6.048</v>
      </c>
      <c r="D165" s="94" t="s">
        <v>224</v>
      </c>
      <c r="E165" s="151"/>
      <c r="F165" s="94"/>
      <c r="G165" s="125"/>
    </row>
    <row r="166" spans="1:7" s="9" customFormat="1" ht="46.5" x14ac:dyDescent="0.2">
      <c r="A166" s="156">
        <f t="shared" si="11"/>
        <v>9.2499999999999947</v>
      </c>
      <c r="B166" s="154" t="s">
        <v>278</v>
      </c>
      <c r="C166" s="94">
        <v>11.76</v>
      </c>
      <c r="D166" s="94" t="s">
        <v>224</v>
      </c>
      <c r="E166" s="151"/>
      <c r="F166" s="94"/>
      <c r="G166" s="125"/>
    </row>
    <row r="167" spans="1:7" s="9" customFormat="1" ht="46.5" x14ac:dyDescent="0.2">
      <c r="A167" s="156">
        <f t="shared" si="11"/>
        <v>9.2599999999999945</v>
      </c>
      <c r="B167" s="154" t="s">
        <v>279</v>
      </c>
      <c r="C167" s="94">
        <v>99.14</v>
      </c>
      <c r="D167" s="94" t="s">
        <v>224</v>
      </c>
      <c r="E167" s="151"/>
      <c r="F167" s="94"/>
      <c r="G167" s="125"/>
    </row>
    <row r="168" spans="1:7" s="9" customFormat="1" ht="69.75" x14ac:dyDescent="0.2">
      <c r="A168" s="156">
        <f t="shared" si="11"/>
        <v>9.2699999999999942</v>
      </c>
      <c r="B168" s="154" t="s">
        <v>280</v>
      </c>
      <c r="C168" s="94">
        <f>19.2*4.2*2</f>
        <v>161.28</v>
      </c>
      <c r="D168" s="94" t="s">
        <v>224</v>
      </c>
      <c r="E168" s="151"/>
      <c r="F168" s="94"/>
      <c r="G168" s="125"/>
    </row>
    <row r="169" spans="1:7" s="9" customFormat="1" ht="23.25" x14ac:dyDescent="0.35">
      <c r="A169" s="157"/>
      <c r="B169" s="158"/>
      <c r="C169" s="82"/>
      <c r="D169" s="94"/>
      <c r="E169" s="94"/>
      <c r="F169" s="1"/>
      <c r="G169" s="125"/>
    </row>
    <row r="170" spans="1:7" s="9" customFormat="1" ht="23.25" x14ac:dyDescent="0.35">
      <c r="A170" s="157"/>
      <c r="B170" s="158"/>
      <c r="C170" s="82"/>
      <c r="D170" s="94"/>
      <c r="E170" s="94"/>
      <c r="F170" s="1"/>
      <c r="G170" s="125"/>
    </row>
    <row r="171" spans="1:7" s="9" customFormat="1" ht="45" x14ac:dyDescent="0.35">
      <c r="A171" s="164">
        <v>10</v>
      </c>
      <c r="B171" s="75" t="s">
        <v>281</v>
      </c>
      <c r="C171" s="159"/>
      <c r="D171" s="160"/>
      <c r="E171" s="94"/>
      <c r="F171" s="160"/>
      <c r="G171" s="125"/>
    </row>
    <row r="172" spans="1:7" s="9" customFormat="1" ht="23.25" x14ac:dyDescent="0.2">
      <c r="A172" s="130">
        <f>A171+0.01</f>
        <v>10.01</v>
      </c>
      <c r="B172" s="154" t="s">
        <v>282</v>
      </c>
      <c r="C172" s="94">
        <v>1</v>
      </c>
      <c r="D172" s="94" t="s">
        <v>68</v>
      </c>
      <c r="E172" s="151"/>
      <c r="F172" s="94"/>
      <c r="G172" s="125"/>
    </row>
    <row r="173" spans="1:7" s="9" customFormat="1" ht="23.25" x14ac:dyDescent="0.2">
      <c r="A173" s="130">
        <f t="shared" ref="A173:A194" si="12">A172+0.01</f>
        <v>10.02</v>
      </c>
      <c r="B173" s="154" t="s">
        <v>283</v>
      </c>
      <c r="C173" s="94">
        <f>((3.2*2+4.56*2)*0.6*0.9)*2</f>
        <v>16.761599999999998</v>
      </c>
      <c r="D173" s="94" t="s">
        <v>284</v>
      </c>
      <c r="E173" s="151"/>
      <c r="F173" s="94"/>
      <c r="G173" s="125"/>
    </row>
    <row r="174" spans="1:7" s="9" customFormat="1" ht="23.25" x14ac:dyDescent="0.2">
      <c r="A174" s="130">
        <f t="shared" si="12"/>
        <v>10.029999999999999</v>
      </c>
      <c r="B174" s="154" t="s">
        <v>257</v>
      </c>
      <c r="C174" s="94">
        <f>(3.2*0.45*0.9)*2</f>
        <v>2.5920000000000005</v>
      </c>
      <c r="D174" s="94" t="s">
        <v>284</v>
      </c>
      <c r="E174" s="151"/>
      <c r="F174" s="94"/>
      <c r="G174" s="125"/>
    </row>
    <row r="175" spans="1:7" s="9" customFormat="1" ht="23.25" x14ac:dyDescent="0.2">
      <c r="A175" s="130">
        <f t="shared" si="12"/>
        <v>10.039999999999999</v>
      </c>
      <c r="B175" s="154" t="s">
        <v>285</v>
      </c>
      <c r="C175" s="94">
        <f>((3.2*2+4.56*2)*0.6*0.65+3.2*0.45*0.65)*2</f>
        <v>13.977599999999999</v>
      </c>
      <c r="D175" s="94" t="s">
        <v>284</v>
      </c>
      <c r="E175" s="151"/>
      <c r="F175" s="94"/>
      <c r="G175" s="125"/>
    </row>
    <row r="176" spans="1:7" s="9" customFormat="1" ht="46.5" x14ac:dyDescent="0.2">
      <c r="A176" s="130">
        <f t="shared" si="12"/>
        <v>10.049999999999999</v>
      </c>
      <c r="B176" s="154" t="str">
        <f>B148</f>
        <v>Zapatas HA para muro de 8" (0.60x0.30)m, 4Ø3/8" y Ø3/8"@0.15m, hormigón industrial 210kg/cm²</v>
      </c>
      <c r="C176" s="94">
        <f>((3.2*2+4.56*2)*0.6*0.3)*2</f>
        <v>5.5871999999999993</v>
      </c>
      <c r="D176" s="94" t="s">
        <v>284</v>
      </c>
      <c r="E176" s="151"/>
      <c r="F176" s="94"/>
      <c r="G176" s="125"/>
    </row>
    <row r="177" spans="1:7" s="9" customFormat="1" ht="46.5" x14ac:dyDescent="0.2">
      <c r="A177" s="130">
        <f t="shared" si="12"/>
        <v>10.059999999999999</v>
      </c>
      <c r="B177" s="154" t="s">
        <v>286</v>
      </c>
      <c r="C177" s="94">
        <f>(3.2*0.45*0.25)*2</f>
        <v>0.72000000000000008</v>
      </c>
      <c r="D177" s="94" t="s">
        <v>284</v>
      </c>
      <c r="E177" s="151"/>
      <c r="F177" s="94"/>
      <c r="G177" s="125"/>
    </row>
    <row r="178" spans="1:7" s="9" customFormat="1" ht="23.25" x14ac:dyDescent="0.2">
      <c r="A178" s="130">
        <f t="shared" si="12"/>
        <v>10.069999999999999</v>
      </c>
      <c r="B178" s="154" t="s">
        <v>287</v>
      </c>
      <c r="C178" s="94">
        <f>(4.56*0.7*2)*2</f>
        <v>12.767999999999999</v>
      </c>
      <c r="D178" s="94" t="s">
        <v>213</v>
      </c>
      <c r="E178" s="151"/>
      <c r="F178" s="94"/>
      <c r="G178" s="125"/>
    </row>
    <row r="179" spans="1:7" s="9" customFormat="1" ht="23.25" x14ac:dyDescent="0.2">
      <c r="A179" s="130">
        <f t="shared" si="12"/>
        <v>10.079999999999998</v>
      </c>
      <c r="B179" s="154" t="s">
        <v>288</v>
      </c>
      <c r="C179" s="94">
        <f>(3.2*2.4*2+4.56*2.4*2-0.9*2.1*2-1.4*0.6*2+3.2*0.7*2)*2</f>
        <v>72.535999999999987</v>
      </c>
      <c r="D179" s="94" t="s">
        <v>213</v>
      </c>
      <c r="E179" s="151"/>
      <c r="F179" s="94"/>
      <c r="G179" s="125"/>
    </row>
    <row r="180" spans="1:7" s="9" customFormat="1" ht="23.25" x14ac:dyDescent="0.2">
      <c r="A180" s="130">
        <f t="shared" si="12"/>
        <v>10.089999999999998</v>
      </c>
      <c r="B180" s="154" t="s">
        <v>289</v>
      </c>
      <c r="C180" s="94">
        <f>3.2*0.6*2</f>
        <v>3.84</v>
      </c>
      <c r="D180" s="94" t="s">
        <v>213</v>
      </c>
      <c r="E180" s="151"/>
      <c r="F180" s="94"/>
      <c r="G180" s="125"/>
    </row>
    <row r="181" spans="1:7" s="9" customFormat="1" ht="23.25" x14ac:dyDescent="0.2">
      <c r="A181" s="130">
        <f t="shared" si="12"/>
        <v>10.099999999999998</v>
      </c>
      <c r="B181" s="154" t="s">
        <v>290</v>
      </c>
      <c r="C181" s="94">
        <f>3.2*2.4*2</f>
        <v>15.36</v>
      </c>
      <c r="D181" s="94" t="s">
        <v>213</v>
      </c>
      <c r="E181" s="151"/>
      <c r="F181" s="94"/>
      <c r="G181" s="125"/>
    </row>
    <row r="182" spans="1:7" s="9" customFormat="1" ht="23.25" x14ac:dyDescent="0.2">
      <c r="A182" s="130">
        <f t="shared" si="12"/>
        <v>10.109999999999998</v>
      </c>
      <c r="B182" s="154" t="s">
        <v>291</v>
      </c>
      <c r="C182" s="94">
        <f>((1.2*2+0.6*2)*1.8)*2</f>
        <v>12.959999999999999</v>
      </c>
      <c r="D182" s="94" t="s">
        <v>213</v>
      </c>
      <c r="E182" s="151"/>
      <c r="F182" s="94"/>
      <c r="G182" s="125"/>
    </row>
    <row r="183" spans="1:7" s="9" customFormat="1" ht="23.25" x14ac:dyDescent="0.2">
      <c r="A183" s="130">
        <f t="shared" si="12"/>
        <v>10.119999999999997</v>
      </c>
      <c r="B183" s="154" t="s">
        <v>292</v>
      </c>
      <c r="C183" s="94">
        <f>4*2</f>
        <v>8</v>
      </c>
      <c r="D183" s="94" t="s">
        <v>72</v>
      </c>
      <c r="E183" s="151"/>
      <c r="F183" s="94"/>
      <c r="G183" s="125"/>
    </row>
    <row r="184" spans="1:7" s="9" customFormat="1" ht="46.5" x14ac:dyDescent="0.2">
      <c r="A184" s="130">
        <f t="shared" si="12"/>
        <v>10.129999999999997</v>
      </c>
      <c r="B184" s="154" t="s">
        <v>263</v>
      </c>
      <c r="C184" s="94">
        <f>0.54*2</f>
        <v>1.08</v>
      </c>
      <c r="D184" s="94" t="s">
        <v>284</v>
      </c>
      <c r="E184" s="151"/>
      <c r="F184" s="94"/>
      <c r="G184" s="125"/>
    </row>
    <row r="185" spans="1:7" s="9" customFormat="1" ht="46.5" x14ac:dyDescent="0.2">
      <c r="A185" s="130">
        <f t="shared" si="12"/>
        <v>10.139999999999997</v>
      </c>
      <c r="B185" s="154" t="s">
        <v>293</v>
      </c>
      <c r="C185" s="94">
        <f>0.75*2</f>
        <v>1.5</v>
      </c>
      <c r="D185" s="94" t="s">
        <v>284</v>
      </c>
      <c r="E185" s="151"/>
      <c r="F185" s="94"/>
      <c r="G185" s="125"/>
    </row>
    <row r="186" spans="1:7" s="9" customFormat="1" ht="46.5" x14ac:dyDescent="0.2">
      <c r="A186" s="130">
        <f t="shared" si="12"/>
        <v>10.149999999999997</v>
      </c>
      <c r="B186" s="154" t="s">
        <v>294</v>
      </c>
      <c r="C186" s="94">
        <f>2.22*2</f>
        <v>4.4400000000000004</v>
      </c>
      <c r="D186" s="94" t="s">
        <v>284</v>
      </c>
      <c r="E186" s="151"/>
      <c r="F186" s="94"/>
      <c r="G186" s="125"/>
    </row>
    <row r="187" spans="1:7" s="9" customFormat="1" ht="46.5" x14ac:dyDescent="0.2">
      <c r="A187" s="130">
        <f t="shared" si="12"/>
        <v>10.159999999999997</v>
      </c>
      <c r="B187" s="154" t="s">
        <v>295</v>
      </c>
      <c r="C187" s="94">
        <f>0.84*2</f>
        <v>1.68</v>
      </c>
      <c r="D187" s="94" t="s">
        <v>284</v>
      </c>
      <c r="E187" s="151"/>
      <c r="F187" s="94"/>
      <c r="G187" s="125"/>
    </row>
    <row r="188" spans="1:7" s="9" customFormat="1" ht="46.5" x14ac:dyDescent="0.2">
      <c r="A188" s="130">
        <f t="shared" si="12"/>
        <v>10.169999999999996</v>
      </c>
      <c r="B188" s="154" t="s">
        <v>296</v>
      </c>
      <c r="C188" s="94">
        <v>75.5</v>
      </c>
      <c r="D188" s="94" t="s">
        <v>71</v>
      </c>
      <c r="E188" s="151"/>
      <c r="F188" s="94"/>
      <c r="G188" s="125"/>
    </row>
    <row r="189" spans="1:7" s="9" customFormat="1" ht="23.25" x14ac:dyDescent="0.2">
      <c r="A189" s="130">
        <f t="shared" si="12"/>
        <v>10.179999999999996</v>
      </c>
      <c r="B189" s="154" t="s">
        <v>297</v>
      </c>
      <c r="C189" s="94">
        <f>42.4*2</f>
        <v>84.8</v>
      </c>
      <c r="D189" s="94" t="s">
        <v>70</v>
      </c>
      <c r="E189" s="151"/>
      <c r="F189" s="94"/>
      <c r="G189" s="125"/>
    </row>
    <row r="190" spans="1:7" s="9" customFormat="1" ht="23.25" x14ac:dyDescent="0.2">
      <c r="A190" s="130">
        <f t="shared" si="12"/>
        <v>10.189999999999996</v>
      </c>
      <c r="B190" s="154" t="s">
        <v>298</v>
      </c>
      <c r="C190" s="94">
        <f>95.83*2</f>
        <v>191.66</v>
      </c>
      <c r="D190" s="94" t="s">
        <v>213</v>
      </c>
      <c r="E190" s="151"/>
      <c r="F190" s="94"/>
      <c r="G190" s="125"/>
    </row>
    <row r="191" spans="1:7" s="9" customFormat="1" ht="23.25" x14ac:dyDescent="0.2">
      <c r="A191" s="130">
        <f t="shared" si="12"/>
        <v>10.199999999999996</v>
      </c>
      <c r="B191" s="154" t="s">
        <v>299</v>
      </c>
      <c r="C191" s="94">
        <f>95.83*2</f>
        <v>191.66</v>
      </c>
      <c r="D191" s="94" t="s">
        <v>213</v>
      </c>
      <c r="E191" s="151"/>
      <c r="F191" s="94"/>
      <c r="G191" s="125"/>
    </row>
    <row r="192" spans="1:7" s="9" customFormat="1" ht="23.25" x14ac:dyDescent="0.2">
      <c r="A192" s="130">
        <f t="shared" si="12"/>
        <v>10.209999999999996</v>
      </c>
      <c r="B192" s="154" t="s">
        <v>300</v>
      </c>
      <c r="C192" s="94">
        <f>4.56*3.2*2</f>
        <v>29.183999999999997</v>
      </c>
      <c r="D192" s="94" t="s">
        <v>213</v>
      </c>
      <c r="E192" s="151"/>
      <c r="F192" s="94"/>
      <c r="G192" s="125"/>
    </row>
    <row r="193" spans="1:7" s="9" customFormat="1" ht="23.25" x14ac:dyDescent="0.2">
      <c r="A193" s="130">
        <f>A191+0.01</f>
        <v>10.209999999999996</v>
      </c>
      <c r="B193" s="154" t="s">
        <v>301</v>
      </c>
      <c r="C193" s="94">
        <f>14.59*2</f>
        <v>29.18</v>
      </c>
      <c r="D193" s="94" t="s">
        <v>213</v>
      </c>
      <c r="E193" s="151"/>
      <c r="F193" s="94"/>
      <c r="G193" s="125"/>
    </row>
    <row r="194" spans="1:7" s="9" customFormat="1" ht="46.5" x14ac:dyDescent="0.2">
      <c r="A194" s="130">
        <f t="shared" si="12"/>
        <v>10.219999999999995</v>
      </c>
      <c r="B194" s="154" t="s">
        <v>302</v>
      </c>
      <c r="C194" s="94">
        <f>14.59*2</f>
        <v>29.18</v>
      </c>
      <c r="D194" s="94" t="s">
        <v>213</v>
      </c>
      <c r="E194" s="151"/>
      <c r="F194" s="94"/>
      <c r="G194" s="125"/>
    </row>
    <row r="195" spans="1:7" s="9" customFormat="1" ht="23.25" x14ac:dyDescent="0.35">
      <c r="A195" s="161"/>
      <c r="B195" s="78"/>
      <c r="C195" s="159"/>
      <c r="D195" s="160"/>
      <c r="E195" s="94"/>
      <c r="F195" s="94"/>
      <c r="G195" s="125"/>
    </row>
    <row r="196" spans="1:7" s="9" customFormat="1" ht="45" x14ac:dyDescent="0.35">
      <c r="A196" s="164">
        <v>11</v>
      </c>
      <c r="B196" s="80" t="s">
        <v>303</v>
      </c>
      <c r="C196" s="159"/>
      <c r="D196" s="160"/>
      <c r="E196" s="94"/>
      <c r="F196" s="94"/>
      <c r="G196" s="125"/>
    </row>
    <row r="197" spans="1:7" s="9" customFormat="1" ht="46.5" x14ac:dyDescent="0.2">
      <c r="A197" s="130">
        <f>A196+0.01</f>
        <v>11.01</v>
      </c>
      <c r="B197" s="154" t="s">
        <v>304</v>
      </c>
      <c r="C197" s="94">
        <f>0.9*2.1*2</f>
        <v>3.7800000000000002</v>
      </c>
      <c r="D197" s="94" t="s">
        <v>71</v>
      </c>
      <c r="E197" s="151"/>
      <c r="F197" s="94"/>
      <c r="G197" s="125"/>
    </row>
    <row r="198" spans="1:7" s="9" customFormat="1" ht="46.5" x14ac:dyDescent="0.2">
      <c r="A198" s="130">
        <f>A197+0.01</f>
        <v>11.02</v>
      </c>
      <c r="B198" s="154" t="s">
        <v>305</v>
      </c>
      <c r="C198" s="94">
        <f>C197*2</f>
        <v>7.5600000000000005</v>
      </c>
      <c r="D198" s="94" t="s">
        <v>71</v>
      </c>
      <c r="E198" s="151"/>
      <c r="F198" s="94"/>
      <c r="G198" s="125"/>
    </row>
    <row r="199" spans="1:7" s="9" customFormat="1" ht="46.5" x14ac:dyDescent="0.2">
      <c r="A199" s="130">
        <f t="shared" ref="A199:A210" si="13">A198+0.01</f>
        <v>11.03</v>
      </c>
      <c r="B199" s="154" t="s">
        <v>306</v>
      </c>
      <c r="C199" s="94">
        <f>(60.72/2)*2</f>
        <v>60.72</v>
      </c>
      <c r="D199" s="94" t="s">
        <v>71</v>
      </c>
      <c r="E199" s="151"/>
      <c r="F199" s="94"/>
      <c r="G199" s="125"/>
    </row>
    <row r="200" spans="1:7" s="9" customFormat="1" ht="46.5" x14ac:dyDescent="0.2">
      <c r="A200" s="130">
        <f t="shared" si="13"/>
        <v>11.04</v>
      </c>
      <c r="B200" s="154" t="s">
        <v>248</v>
      </c>
      <c r="C200" s="94">
        <v>8</v>
      </c>
      <c r="D200" s="94" t="s">
        <v>72</v>
      </c>
      <c r="E200" s="151"/>
      <c r="F200" s="94"/>
      <c r="G200" s="125"/>
    </row>
    <row r="201" spans="1:7" s="9" customFormat="1" ht="46.5" x14ac:dyDescent="0.2">
      <c r="A201" s="130">
        <f t="shared" si="13"/>
        <v>11.049999999999999</v>
      </c>
      <c r="B201" s="154" t="s">
        <v>249</v>
      </c>
      <c r="C201" s="94">
        <v>2</v>
      </c>
      <c r="D201" s="94" t="s">
        <v>72</v>
      </c>
      <c r="E201" s="151"/>
      <c r="F201" s="94"/>
      <c r="G201" s="125"/>
    </row>
    <row r="202" spans="1:7" s="9" customFormat="1" ht="46.5" x14ac:dyDescent="0.2">
      <c r="A202" s="130">
        <f t="shared" si="13"/>
        <v>11.059999999999999</v>
      </c>
      <c r="B202" s="154" t="s">
        <v>307</v>
      </c>
      <c r="C202" s="94">
        <f>(0.7*0.6*2)</f>
        <v>0.84</v>
      </c>
      <c r="D202" s="94" t="s">
        <v>71</v>
      </c>
      <c r="E202" s="151"/>
      <c r="F202" s="94"/>
      <c r="G202" s="125"/>
    </row>
    <row r="203" spans="1:7" s="9" customFormat="1" ht="46.5" x14ac:dyDescent="0.2">
      <c r="A203" s="130">
        <f t="shared" si="13"/>
        <v>11.069999999999999</v>
      </c>
      <c r="B203" s="154" t="s">
        <v>308</v>
      </c>
      <c r="C203" s="94">
        <v>4</v>
      </c>
      <c r="D203" s="94" t="s">
        <v>72</v>
      </c>
      <c r="E203" s="151"/>
      <c r="F203" s="94"/>
      <c r="G203" s="125"/>
    </row>
    <row r="204" spans="1:7" s="9" customFormat="1" ht="46.5" x14ac:dyDescent="0.2">
      <c r="A204" s="130">
        <f t="shared" si="13"/>
        <v>11.079999999999998</v>
      </c>
      <c r="B204" s="154" t="s">
        <v>309</v>
      </c>
      <c r="C204" s="94">
        <f>(0.6*1.4*2*10.76)</f>
        <v>18.076799999999999</v>
      </c>
      <c r="D204" s="94" t="s">
        <v>310</v>
      </c>
      <c r="E204" s="151"/>
      <c r="F204" s="94"/>
      <c r="G204" s="125"/>
    </row>
    <row r="205" spans="1:7" s="9" customFormat="1" ht="46.5" x14ac:dyDescent="0.2">
      <c r="A205" s="130">
        <f>A204+0.01</f>
        <v>11.089999999999998</v>
      </c>
      <c r="B205" s="154" t="s">
        <v>311</v>
      </c>
      <c r="C205" s="94">
        <f>4.56*0.6</f>
        <v>2.7359999999999998</v>
      </c>
      <c r="D205" s="94" t="s">
        <v>71</v>
      </c>
      <c r="E205" s="151"/>
      <c r="F205" s="94"/>
      <c r="G205" s="125"/>
    </row>
    <row r="206" spans="1:7" s="9" customFormat="1" ht="46.5" x14ac:dyDescent="0.2">
      <c r="A206" s="130">
        <f t="shared" si="13"/>
        <v>11.099999999999998</v>
      </c>
      <c r="B206" s="154" t="s">
        <v>312</v>
      </c>
      <c r="C206" s="94">
        <f>4.56*0.6*2</f>
        <v>5.4719999999999995</v>
      </c>
      <c r="D206" s="94" t="s">
        <v>71</v>
      </c>
      <c r="E206" s="151"/>
      <c r="F206" s="94"/>
      <c r="G206" s="125"/>
    </row>
    <row r="207" spans="1:7" s="9" customFormat="1" ht="46.5" x14ac:dyDescent="0.2">
      <c r="A207" s="130">
        <f t="shared" si="13"/>
        <v>11.109999999999998</v>
      </c>
      <c r="B207" s="154" t="s">
        <v>313</v>
      </c>
      <c r="C207" s="94">
        <f>4.56*0.6*2</f>
        <v>5.4719999999999995</v>
      </c>
      <c r="D207" s="94" t="s">
        <v>71</v>
      </c>
      <c r="E207" s="151"/>
      <c r="F207" s="94"/>
      <c r="G207" s="125"/>
    </row>
    <row r="208" spans="1:7" s="9" customFormat="1" ht="46.5" x14ac:dyDescent="0.2">
      <c r="A208" s="153">
        <f t="shared" si="13"/>
        <v>11.119999999999997</v>
      </c>
      <c r="B208" s="78" t="s">
        <v>54</v>
      </c>
      <c r="C208" s="94">
        <v>4</v>
      </c>
      <c r="D208" s="94" t="s">
        <v>72</v>
      </c>
      <c r="E208" s="94"/>
      <c r="F208" s="94"/>
      <c r="G208" s="125"/>
    </row>
    <row r="209" spans="1:7" s="9" customFormat="1" ht="46.5" x14ac:dyDescent="0.2">
      <c r="A209" s="153">
        <f t="shared" si="13"/>
        <v>11.129999999999997</v>
      </c>
      <c r="B209" s="78" t="s">
        <v>55</v>
      </c>
      <c r="C209" s="94">
        <v>4</v>
      </c>
      <c r="D209" s="94" t="s">
        <v>72</v>
      </c>
      <c r="E209" s="94"/>
      <c r="F209" s="94"/>
      <c r="G209" s="125"/>
    </row>
    <row r="210" spans="1:7" s="9" customFormat="1" ht="46.5" x14ac:dyDescent="0.2">
      <c r="A210" s="153">
        <f t="shared" si="13"/>
        <v>11.139999999999997</v>
      </c>
      <c r="B210" s="78" t="s">
        <v>56</v>
      </c>
      <c r="C210" s="94">
        <v>4</v>
      </c>
      <c r="D210" s="94" t="s">
        <v>72</v>
      </c>
      <c r="E210" s="94"/>
      <c r="F210" s="94"/>
      <c r="G210" s="125"/>
    </row>
    <row r="211" spans="1:7" s="9" customFormat="1" ht="46.5" x14ac:dyDescent="0.2">
      <c r="A211" s="130">
        <f>A207+0.01</f>
        <v>11.119999999999997</v>
      </c>
      <c r="B211" s="154" t="s">
        <v>314</v>
      </c>
      <c r="C211" s="94">
        <v>1</v>
      </c>
      <c r="D211" s="94" t="s">
        <v>68</v>
      </c>
      <c r="E211" s="151"/>
      <c r="F211" s="94"/>
      <c r="G211" s="125"/>
    </row>
    <row r="212" spans="1:7" s="9" customFormat="1" ht="23.25" x14ac:dyDescent="0.2">
      <c r="A212" s="91"/>
      <c r="B212" s="131"/>
      <c r="C212" s="162"/>
      <c r="D212" s="163"/>
      <c r="E212" s="94"/>
      <c r="F212" s="94"/>
      <c r="G212" s="125"/>
    </row>
    <row r="213" spans="1:7" s="9" customFormat="1" ht="45" x14ac:dyDescent="0.35">
      <c r="A213" s="164">
        <v>3</v>
      </c>
      <c r="B213" s="80" t="s">
        <v>327</v>
      </c>
      <c r="C213" s="168"/>
      <c r="D213" s="168"/>
      <c r="E213" s="168"/>
      <c r="F213" s="29"/>
      <c r="G213" s="8"/>
    </row>
    <row r="214" spans="1:7" s="9" customFormat="1" ht="23.25" x14ac:dyDescent="0.35">
      <c r="A214" s="130">
        <v>3.01</v>
      </c>
      <c r="B214" s="154" t="s">
        <v>212</v>
      </c>
      <c r="C214" s="94">
        <v>1</v>
      </c>
      <c r="D214" s="94" t="s">
        <v>320</v>
      </c>
      <c r="E214" s="151"/>
      <c r="F214" s="29"/>
      <c r="G214" s="8"/>
    </row>
    <row r="215" spans="1:7" s="9" customFormat="1" ht="39" customHeight="1" x14ac:dyDescent="0.35">
      <c r="A215" s="130">
        <v>3.0199999999999996</v>
      </c>
      <c r="B215" s="154" t="s">
        <v>256</v>
      </c>
      <c r="C215" s="94">
        <v>56.603999999999985</v>
      </c>
      <c r="D215" s="94" t="s">
        <v>67</v>
      </c>
      <c r="E215" s="151"/>
      <c r="F215" s="29"/>
      <c r="G215" s="8"/>
    </row>
    <row r="216" spans="1:7" s="9" customFormat="1" ht="46.5" x14ac:dyDescent="0.35">
      <c r="A216" s="130">
        <v>3.0299999999999994</v>
      </c>
      <c r="B216" s="154" t="s">
        <v>321</v>
      </c>
      <c r="C216" s="94">
        <v>30</v>
      </c>
      <c r="D216" s="94" t="s">
        <v>67</v>
      </c>
      <c r="E216" s="151"/>
      <c r="F216" s="29"/>
      <c r="G216" s="8"/>
    </row>
    <row r="217" spans="1:7" s="9" customFormat="1" ht="46.5" x14ac:dyDescent="0.35">
      <c r="A217" s="130">
        <v>3.0399999999999991</v>
      </c>
      <c r="B217" s="154" t="s">
        <v>258</v>
      </c>
      <c r="C217" s="94">
        <v>34.339759999999991</v>
      </c>
      <c r="D217" s="94" t="s">
        <v>67</v>
      </c>
      <c r="E217" s="151"/>
      <c r="F217" s="29"/>
      <c r="G217" s="8"/>
    </row>
    <row r="218" spans="1:7" s="9" customFormat="1" ht="46.5" x14ac:dyDescent="0.35">
      <c r="A218" s="130">
        <v>3.0499999999999989</v>
      </c>
      <c r="B218" s="154" t="s">
        <v>259</v>
      </c>
      <c r="C218" s="94">
        <v>26.207999999999995</v>
      </c>
      <c r="D218" s="94" t="s">
        <v>67</v>
      </c>
      <c r="E218" s="151"/>
      <c r="F218" s="29"/>
      <c r="G218" s="8"/>
    </row>
    <row r="219" spans="1:7" s="9" customFormat="1" ht="46.5" x14ac:dyDescent="0.35">
      <c r="A219" s="130">
        <v>3.0599999999999987</v>
      </c>
      <c r="B219" s="154" t="s">
        <v>260</v>
      </c>
      <c r="C219" s="94">
        <v>33.873111999999999</v>
      </c>
      <c r="D219" s="94" t="s">
        <v>67</v>
      </c>
      <c r="E219" s="151"/>
      <c r="F219" s="29"/>
      <c r="G219" s="8"/>
    </row>
    <row r="220" spans="1:7" s="9" customFormat="1" ht="46.5" x14ac:dyDescent="0.35">
      <c r="A220" s="130">
        <v>3.0699999999999985</v>
      </c>
      <c r="B220" s="154" t="s">
        <v>261</v>
      </c>
      <c r="C220" s="94">
        <v>16.981199999999994</v>
      </c>
      <c r="D220" s="94" t="s">
        <v>67</v>
      </c>
      <c r="E220" s="151"/>
      <c r="F220" s="29"/>
      <c r="G220" s="8"/>
    </row>
    <row r="221" spans="1:7" s="9" customFormat="1" ht="69.75" x14ac:dyDescent="0.35">
      <c r="A221" s="130">
        <v>3.0799999999999983</v>
      </c>
      <c r="B221" s="154" t="s">
        <v>262</v>
      </c>
      <c r="C221" s="94">
        <v>9</v>
      </c>
      <c r="D221" s="94" t="s">
        <v>67</v>
      </c>
      <c r="E221" s="151"/>
      <c r="F221" s="29"/>
      <c r="G221" s="8"/>
    </row>
    <row r="222" spans="1:7" s="9" customFormat="1" ht="46.5" x14ac:dyDescent="0.35">
      <c r="A222" s="130">
        <v>3.0899999999999981</v>
      </c>
      <c r="B222" s="154" t="s">
        <v>322</v>
      </c>
      <c r="C222" s="94">
        <v>5.6296000000000008</v>
      </c>
      <c r="D222" s="94" t="s">
        <v>67</v>
      </c>
      <c r="E222" s="151"/>
      <c r="F222" s="29"/>
      <c r="G222" s="8"/>
    </row>
    <row r="223" spans="1:7" s="9" customFormat="1" ht="23.25" x14ac:dyDescent="0.35">
      <c r="A223" s="130">
        <v>3.0999999999999979</v>
      </c>
      <c r="B223" s="154" t="s">
        <v>264</v>
      </c>
      <c r="C223" s="94">
        <v>102.444</v>
      </c>
      <c r="D223" s="94" t="s">
        <v>224</v>
      </c>
      <c r="E223" s="151"/>
      <c r="F223" s="29"/>
      <c r="G223" s="8"/>
    </row>
    <row r="224" spans="1:7" s="9" customFormat="1" ht="46.5" x14ac:dyDescent="0.35">
      <c r="A224" s="130">
        <v>3.1099999999999977</v>
      </c>
      <c r="B224" s="154" t="s">
        <v>323</v>
      </c>
      <c r="C224" s="94">
        <v>2.4600000000000004</v>
      </c>
      <c r="D224" s="94" t="s">
        <v>67</v>
      </c>
      <c r="E224" s="151"/>
      <c r="F224" s="29"/>
      <c r="G224" s="8"/>
    </row>
    <row r="225" spans="1:7" s="9" customFormat="1" ht="46.5" x14ac:dyDescent="0.35">
      <c r="A225" s="130">
        <v>3.1199999999999974</v>
      </c>
      <c r="B225" s="154" t="s">
        <v>324</v>
      </c>
      <c r="C225" s="94">
        <v>18.834479999999999</v>
      </c>
      <c r="D225" s="94" t="s">
        <v>67</v>
      </c>
      <c r="E225" s="151"/>
      <c r="F225" s="29"/>
      <c r="G225" s="8"/>
    </row>
    <row r="226" spans="1:7" s="9" customFormat="1" ht="23.25" x14ac:dyDescent="0.35">
      <c r="A226" s="130">
        <v>3.1299999999999972</v>
      </c>
      <c r="B226" s="154" t="s">
        <v>267</v>
      </c>
      <c r="C226" s="94">
        <v>24.300000000000004</v>
      </c>
      <c r="D226" s="94" t="s">
        <v>224</v>
      </c>
      <c r="E226" s="151"/>
      <c r="F226" s="29"/>
      <c r="G226" s="8"/>
    </row>
    <row r="227" spans="1:7" s="9" customFormat="1" ht="23.25" x14ac:dyDescent="0.35">
      <c r="A227" s="130">
        <v>3.139999999999997</v>
      </c>
      <c r="B227" s="154" t="s">
        <v>268</v>
      </c>
      <c r="C227" s="94">
        <v>50.4</v>
      </c>
      <c r="D227" s="94" t="s">
        <v>224</v>
      </c>
      <c r="E227" s="151"/>
      <c r="F227" s="29"/>
      <c r="G227" s="8"/>
    </row>
    <row r="228" spans="1:7" s="9" customFormat="1" ht="23.25" x14ac:dyDescent="0.35">
      <c r="A228" s="130">
        <v>3.1499999999999968</v>
      </c>
      <c r="B228" s="154" t="s">
        <v>269</v>
      </c>
      <c r="C228" s="94">
        <v>529.43999999999994</v>
      </c>
      <c r="D228" s="94" t="s">
        <v>70</v>
      </c>
      <c r="E228" s="151"/>
      <c r="F228" s="29"/>
      <c r="G228" s="8"/>
    </row>
    <row r="229" spans="1:7" s="9" customFormat="1" ht="23.25" x14ac:dyDescent="0.35">
      <c r="A229" s="130">
        <v>3.1599999999999966</v>
      </c>
      <c r="B229" s="154" t="s">
        <v>270</v>
      </c>
      <c r="C229" s="94">
        <v>85.406400000000005</v>
      </c>
      <c r="D229" s="94" t="s">
        <v>224</v>
      </c>
      <c r="E229" s="151"/>
      <c r="F229" s="29"/>
      <c r="G229" s="8"/>
    </row>
    <row r="230" spans="1:7" s="9" customFormat="1" ht="46.5" x14ac:dyDescent="0.3">
      <c r="A230" s="130">
        <v>3.1699999999999964</v>
      </c>
      <c r="B230" s="154" t="s">
        <v>325</v>
      </c>
      <c r="C230" s="94">
        <v>37.369999999999997</v>
      </c>
      <c r="D230" s="94" t="s">
        <v>70</v>
      </c>
      <c r="E230" s="151"/>
      <c r="F230" s="30"/>
      <c r="G230" s="8"/>
    </row>
    <row r="231" spans="1:7" s="9" customFormat="1" ht="46.5" x14ac:dyDescent="0.3">
      <c r="A231" s="130">
        <v>3.1699999999999964</v>
      </c>
      <c r="B231" s="154" t="s">
        <v>326</v>
      </c>
      <c r="C231" s="94">
        <f>2.65*7</f>
        <v>18.55</v>
      </c>
      <c r="D231" s="94" t="s">
        <v>70</v>
      </c>
      <c r="E231" s="151"/>
      <c r="F231" s="30"/>
      <c r="G231" s="8"/>
    </row>
    <row r="232" spans="1:7" s="9" customFormat="1" ht="69.75" x14ac:dyDescent="0.3">
      <c r="A232" s="130">
        <v>3.1699999999999964</v>
      </c>
      <c r="B232" s="154" t="s">
        <v>280</v>
      </c>
      <c r="C232" s="94">
        <v>209.82</v>
      </c>
      <c r="D232" s="94" t="s">
        <v>224</v>
      </c>
      <c r="E232" s="151"/>
      <c r="F232" s="94"/>
      <c r="G232" s="8"/>
    </row>
    <row r="233" spans="1:7" s="9" customFormat="1" ht="23.25" x14ac:dyDescent="0.35">
      <c r="A233" s="117"/>
      <c r="B233" s="80"/>
      <c r="C233" s="113"/>
      <c r="D233" s="80"/>
      <c r="E233" s="120"/>
      <c r="F233" s="29"/>
      <c r="G233" s="8"/>
    </row>
    <row r="234" spans="1:7" s="9" customFormat="1" ht="23.25" x14ac:dyDescent="0.35">
      <c r="A234" s="117"/>
      <c r="B234" s="80"/>
      <c r="C234" s="113"/>
      <c r="D234" s="80"/>
      <c r="E234" s="120"/>
      <c r="F234" s="29"/>
      <c r="G234" s="8"/>
    </row>
    <row r="235" spans="1:7" s="9" customFormat="1" ht="45" x14ac:dyDescent="0.35">
      <c r="A235" s="115">
        <v>12</v>
      </c>
      <c r="B235" s="75" t="s">
        <v>58</v>
      </c>
      <c r="C235" s="114"/>
      <c r="D235" s="81"/>
      <c r="E235" s="120"/>
      <c r="F235" s="29"/>
      <c r="G235" s="8"/>
    </row>
    <row r="236" spans="1:7" s="9" customFormat="1" ht="69.75" x14ac:dyDescent="0.3">
      <c r="A236" s="117">
        <f t="shared" ref="A236:A268" si="14">A235+0.01</f>
        <v>12.01</v>
      </c>
      <c r="B236" s="78" t="s">
        <v>59</v>
      </c>
      <c r="C236" s="114">
        <f>5*2.2</f>
        <v>11</v>
      </c>
      <c r="D236" s="78" t="s">
        <v>71</v>
      </c>
      <c r="E236" s="120"/>
      <c r="F236" s="30"/>
      <c r="G236" s="8"/>
    </row>
    <row r="237" spans="1:7" s="9" customFormat="1" ht="69.75" x14ac:dyDescent="0.3">
      <c r="A237" s="117">
        <f t="shared" si="14"/>
        <v>12.02</v>
      </c>
      <c r="B237" s="78" t="s">
        <v>60</v>
      </c>
      <c r="C237" s="114">
        <f>(35.01*1*0.2)*2</f>
        <v>14.004</v>
      </c>
      <c r="D237" s="79" t="s">
        <v>67</v>
      </c>
      <c r="E237" s="120"/>
      <c r="F237" s="30"/>
      <c r="G237" s="8"/>
    </row>
    <row r="238" spans="1:7" s="9" customFormat="1" ht="46.5" x14ac:dyDescent="0.3">
      <c r="A238" s="117">
        <f t="shared" si="14"/>
        <v>12.03</v>
      </c>
      <c r="B238" s="78" t="s">
        <v>61</v>
      </c>
      <c r="C238" s="114">
        <f>(222.72*1.1)*2+(196.66*2)*2</f>
        <v>1276.624</v>
      </c>
      <c r="D238" s="79" t="s">
        <v>71</v>
      </c>
      <c r="E238" s="120"/>
      <c r="F238" s="30"/>
      <c r="G238" s="8"/>
    </row>
    <row r="239" spans="1:7" s="9" customFormat="1" ht="23.25" x14ac:dyDescent="0.35">
      <c r="A239" s="117"/>
      <c r="B239" s="80"/>
      <c r="C239" s="113"/>
      <c r="D239" s="80"/>
      <c r="E239" s="120"/>
      <c r="F239" s="29"/>
      <c r="G239" s="8"/>
    </row>
    <row r="240" spans="1:7" s="9" customFormat="1" ht="23.25" x14ac:dyDescent="0.35">
      <c r="A240" s="115">
        <v>13</v>
      </c>
      <c r="B240" s="75" t="s">
        <v>62</v>
      </c>
      <c r="C240" s="114"/>
      <c r="D240" s="81"/>
      <c r="E240" s="120"/>
      <c r="F240" s="29"/>
      <c r="G240" s="8"/>
    </row>
    <row r="241" spans="1:7" s="9" customFormat="1" ht="23.25" x14ac:dyDescent="0.35">
      <c r="A241" s="117">
        <f t="shared" si="14"/>
        <v>13.01</v>
      </c>
      <c r="B241" s="78" t="s">
        <v>319</v>
      </c>
      <c r="C241" s="114">
        <v>1</v>
      </c>
      <c r="D241" s="79" t="s">
        <v>72</v>
      </c>
      <c r="E241" s="120"/>
      <c r="F241" s="29"/>
      <c r="G241" s="8"/>
    </row>
    <row r="242" spans="1:7" s="9" customFormat="1" ht="69.75" x14ac:dyDescent="0.3">
      <c r="A242" s="117">
        <f>A241+0.01</f>
        <v>13.02</v>
      </c>
      <c r="B242" s="78" t="s">
        <v>45</v>
      </c>
      <c r="C242" s="114">
        <v>1</v>
      </c>
      <c r="D242" s="79" t="s">
        <v>72</v>
      </c>
      <c r="E242" s="120"/>
      <c r="F242" s="30"/>
      <c r="G242" s="8"/>
    </row>
    <row r="243" spans="1:7" s="9" customFormat="1" ht="23.25" x14ac:dyDescent="0.35">
      <c r="A243" s="117">
        <f>A241+0.01</f>
        <v>13.02</v>
      </c>
      <c r="B243" s="78" t="s">
        <v>63</v>
      </c>
      <c r="C243" s="114">
        <v>2</v>
      </c>
      <c r="D243" s="79" t="s">
        <v>72</v>
      </c>
      <c r="E243" s="120"/>
      <c r="F243" s="29"/>
      <c r="G243" s="8"/>
    </row>
    <row r="244" spans="1:7" s="9" customFormat="1" ht="23.25" x14ac:dyDescent="0.35">
      <c r="A244" s="117">
        <f t="shared" si="14"/>
        <v>13.03</v>
      </c>
      <c r="B244" s="78" t="s">
        <v>64</v>
      </c>
      <c r="C244" s="114">
        <v>1</v>
      </c>
      <c r="D244" s="78" t="s">
        <v>68</v>
      </c>
      <c r="E244" s="120"/>
      <c r="F244" s="29"/>
      <c r="G244" s="8"/>
    </row>
    <row r="245" spans="1:7" s="9" customFormat="1" ht="23.25" x14ac:dyDescent="0.35">
      <c r="A245" s="117"/>
      <c r="B245" s="75"/>
      <c r="C245" s="93"/>
      <c r="D245" s="77"/>
      <c r="E245" s="120"/>
      <c r="F245" s="29"/>
      <c r="G245" s="8"/>
    </row>
    <row r="246" spans="1:7" s="9" customFormat="1" ht="23.25" x14ac:dyDescent="0.35">
      <c r="A246" s="115">
        <v>14</v>
      </c>
      <c r="B246" s="75" t="s">
        <v>208</v>
      </c>
      <c r="C246" s="93"/>
      <c r="D246" s="82"/>
      <c r="E246" s="29"/>
      <c r="F246" s="83"/>
      <c r="G246" s="8"/>
    </row>
    <row r="247" spans="1:7" s="9" customFormat="1" ht="23.25" x14ac:dyDescent="0.35">
      <c r="A247" s="117">
        <f t="shared" si="14"/>
        <v>14.01</v>
      </c>
      <c r="B247" s="84" t="s">
        <v>73</v>
      </c>
      <c r="C247" s="93">
        <v>1</v>
      </c>
      <c r="D247" s="82" t="s">
        <v>74</v>
      </c>
      <c r="E247" s="27"/>
      <c r="F247" s="27"/>
      <c r="G247" s="8"/>
    </row>
    <row r="248" spans="1:7" s="9" customFormat="1" ht="23.25" x14ac:dyDescent="0.35">
      <c r="A248" s="117">
        <f t="shared" si="14"/>
        <v>14.02</v>
      </c>
      <c r="B248" s="85" t="s">
        <v>75</v>
      </c>
      <c r="C248" s="108">
        <v>2</v>
      </c>
      <c r="D248" s="82" t="s">
        <v>74</v>
      </c>
      <c r="E248" s="27"/>
      <c r="F248" s="27"/>
      <c r="G248" s="8"/>
    </row>
    <row r="249" spans="1:7" s="9" customFormat="1" ht="93" x14ac:dyDescent="0.3">
      <c r="A249" s="117">
        <f t="shared" si="14"/>
        <v>14.03</v>
      </c>
      <c r="B249" s="86" t="s">
        <v>76</v>
      </c>
      <c r="C249" s="108">
        <v>1</v>
      </c>
      <c r="D249" s="93" t="s">
        <v>74</v>
      </c>
      <c r="E249" s="94"/>
      <c r="F249" s="94"/>
      <c r="G249" s="8"/>
    </row>
    <row r="250" spans="1:7" s="9" customFormat="1" ht="23.25" x14ac:dyDescent="0.35">
      <c r="A250" s="117">
        <f t="shared" si="14"/>
        <v>14.04</v>
      </c>
      <c r="B250" s="84" t="s">
        <v>77</v>
      </c>
      <c r="C250" s="108">
        <v>1</v>
      </c>
      <c r="D250" s="82" t="s">
        <v>74</v>
      </c>
      <c r="E250" s="27"/>
      <c r="F250" s="27"/>
      <c r="G250" s="8"/>
    </row>
    <row r="251" spans="1:7" s="9" customFormat="1" ht="23.25" x14ac:dyDescent="0.35">
      <c r="A251" s="117">
        <f t="shared" si="14"/>
        <v>14.049999999999999</v>
      </c>
      <c r="B251" s="84" t="s">
        <v>78</v>
      </c>
      <c r="C251" s="108">
        <v>1</v>
      </c>
      <c r="D251" s="82" t="s">
        <v>74</v>
      </c>
      <c r="E251" s="27"/>
      <c r="F251" s="27"/>
      <c r="G251" s="8"/>
    </row>
    <row r="252" spans="1:7" s="9" customFormat="1" ht="23.25" x14ac:dyDescent="0.35">
      <c r="A252" s="117">
        <f t="shared" si="14"/>
        <v>14.059999999999999</v>
      </c>
      <c r="B252" s="85" t="s">
        <v>79</v>
      </c>
      <c r="C252" s="108">
        <v>1</v>
      </c>
      <c r="D252" s="82" t="s">
        <v>74</v>
      </c>
      <c r="E252" s="27"/>
      <c r="F252" s="27"/>
      <c r="G252" s="8"/>
    </row>
    <row r="253" spans="1:7" s="9" customFormat="1" ht="23.25" x14ac:dyDescent="0.35">
      <c r="A253" s="117">
        <f t="shared" si="14"/>
        <v>14.069999999999999</v>
      </c>
      <c r="B253" s="84" t="s">
        <v>80</v>
      </c>
      <c r="C253" s="108">
        <v>1</v>
      </c>
      <c r="D253" s="82" t="s">
        <v>74</v>
      </c>
      <c r="E253" s="27"/>
      <c r="F253" s="27"/>
      <c r="G253" s="8"/>
    </row>
    <row r="254" spans="1:7" s="9" customFormat="1" ht="23.25" x14ac:dyDescent="0.35">
      <c r="A254" s="117">
        <f t="shared" si="14"/>
        <v>14.079999999999998</v>
      </c>
      <c r="B254" s="85" t="s">
        <v>81</v>
      </c>
      <c r="C254" s="108">
        <v>1</v>
      </c>
      <c r="D254" s="82" t="s">
        <v>74</v>
      </c>
      <c r="E254" s="27"/>
      <c r="F254" s="27"/>
      <c r="G254" s="8"/>
    </row>
    <row r="255" spans="1:7" s="9" customFormat="1" ht="23.25" x14ac:dyDescent="0.35">
      <c r="A255" s="117">
        <f t="shared" si="14"/>
        <v>14.089999999999998</v>
      </c>
      <c r="B255" s="1" t="s">
        <v>82</v>
      </c>
      <c r="C255" s="108">
        <v>2</v>
      </c>
      <c r="D255" s="82" t="s">
        <v>74</v>
      </c>
      <c r="E255" s="27"/>
      <c r="F255" s="27"/>
      <c r="G255" s="8"/>
    </row>
    <row r="256" spans="1:7" s="9" customFormat="1" ht="23.25" x14ac:dyDescent="0.35">
      <c r="A256" s="117">
        <f t="shared" si="14"/>
        <v>14.099999999999998</v>
      </c>
      <c r="B256" s="1" t="s">
        <v>83</v>
      </c>
      <c r="C256" s="108">
        <v>1</v>
      </c>
      <c r="D256" s="82" t="s">
        <v>74</v>
      </c>
      <c r="E256" s="27"/>
      <c r="F256" s="27"/>
      <c r="G256" s="8"/>
    </row>
    <row r="257" spans="1:7" s="9" customFormat="1" ht="23.25" x14ac:dyDescent="0.35">
      <c r="A257" s="117">
        <f t="shared" si="14"/>
        <v>14.109999999999998</v>
      </c>
      <c r="B257" s="1" t="s">
        <v>84</v>
      </c>
      <c r="C257" s="111">
        <v>1</v>
      </c>
      <c r="D257" s="82" t="s">
        <v>74</v>
      </c>
      <c r="E257" s="27"/>
      <c r="F257" s="27"/>
      <c r="G257" s="8"/>
    </row>
    <row r="258" spans="1:7" s="9" customFormat="1" ht="23.25" x14ac:dyDescent="0.35">
      <c r="A258" s="117">
        <f t="shared" si="14"/>
        <v>14.119999999999997</v>
      </c>
      <c r="B258" s="88" t="s">
        <v>85</v>
      </c>
      <c r="C258" s="93">
        <v>2</v>
      </c>
      <c r="D258" s="82" t="s">
        <v>86</v>
      </c>
      <c r="E258" s="27"/>
      <c r="F258" s="83"/>
      <c r="G258" s="8"/>
    </row>
    <row r="259" spans="1:7" s="9" customFormat="1" ht="23.25" x14ac:dyDescent="0.35">
      <c r="A259" s="117">
        <f t="shared" si="14"/>
        <v>14.129999999999997</v>
      </c>
      <c r="B259" s="1" t="s">
        <v>87</v>
      </c>
      <c r="C259" s="108">
        <v>1</v>
      </c>
      <c r="D259" s="82" t="s">
        <v>74</v>
      </c>
      <c r="E259" s="27"/>
      <c r="F259" s="27"/>
      <c r="G259" s="8"/>
    </row>
    <row r="260" spans="1:7" s="9" customFormat="1" ht="23.25" x14ac:dyDescent="0.35">
      <c r="A260" s="117">
        <f t="shared" si="14"/>
        <v>14.139999999999997</v>
      </c>
      <c r="B260" s="1" t="s">
        <v>88</v>
      </c>
      <c r="C260" s="108">
        <v>4</v>
      </c>
      <c r="D260" s="82" t="s">
        <v>74</v>
      </c>
      <c r="E260" s="27"/>
      <c r="F260" s="27"/>
      <c r="G260" s="8"/>
    </row>
    <row r="261" spans="1:7" s="9" customFormat="1" ht="23.25" x14ac:dyDescent="0.35">
      <c r="A261" s="117">
        <f t="shared" si="14"/>
        <v>14.149999999999997</v>
      </c>
      <c r="B261" s="89" t="s">
        <v>89</v>
      </c>
      <c r="C261" s="93">
        <v>1</v>
      </c>
      <c r="D261" s="82" t="s">
        <v>74</v>
      </c>
      <c r="E261" s="27"/>
      <c r="F261" s="27"/>
      <c r="G261" s="8"/>
    </row>
    <row r="262" spans="1:7" s="9" customFormat="1" ht="93" x14ac:dyDescent="0.3">
      <c r="A262" s="117">
        <f t="shared" si="14"/>
        <v>14.159999999999997</v>
      </c>
      <c r="B262" s="122" t="s">
        <v>90</v>
      </c>
      <c r="C262" s="108">
        <v>1</v>
      </c>
      <c r="D262" s="93" t="s">
        <v>74</v>
      </c>
      <c r="E262" s="94"/>
      <c r="F262" s="94"/>
      <c r="G262" s="8"/>
    </row>
    <row r="263" spans="1:7" s="9" customFormat="1" ht="23.25" x14ac:dyDescent="0.35">
      <c r="A263" s="117">
        <f t="shared" si="14"/>
        <v>14.169999999999996</v>
      </c>
      <c r="B263" s="53" t="s">
        <v>91</v>
      </c>
      <c r="C263" s="108">
        <v>1</v>
      </c>
      <c r="D263" s="82" t="s">
        <v>74</v>
      </c>
      <c r="E263" s="27"/>
      <c r="F263" s="27"/>
      <c r="G263" s="8"/>
    </row>
    <row r="264" spans="1:7" s="9" customFormat="1" ht="23.25" x14ac:dyDescent="0.35">
      <c r="A264" s="117">
        <f t="shared" si="14"/>
        <v>14.179999999999996</v>
      </c>
      <c r="B264" s="89" t="s">
        <v>92</v>
      </c>
      <c r="C264" s="93">
        <v>7</v>
      </c>
      <c r="D264" s="82" t="s">
        <v>74</v>
      </c>
      <c r="E264" s="27"/>
      <c r="F264" s="27"/>
      <c r="G264" s="8"/>
    </row>
    <row r="265" spans="1:7" s="9" customFormat="1" ht="23.25" x14ac:dyDescent="0.35">
      <c r="A265" s="117">
        <f t="shared" si="14"/>
        <v>14.189999999999996</v>
      </c>
      <c r="B265" s="89" t="s">
        <v>93</v>
      </c>
      <c r="C265" s="93">
        <v>2</v>
      </c>
      <c r="D265" s="82" t="s">
        <v>74</v>
      </c>
      <c r="E265" s="27"/>
      <c r="F265" s="27"/>
      <c r="G265" s="8"/>
    </row>
    <row r="266" spans="1:7" s="9" customFormat="1" ht="46.5" x14ac:dyDescent="0.35">
      <c r="A266" s="117">
        <f t="shared" si="14"/>
        <v>14.199999999999996</v>
      </c>
      <c r="B266" s="167" t="s">
        <v>94</v>
      </c>
      <c r="C266" s="93">
        <v>2</v>
      </c>
      <c r="D266" s="82" t="s">
        <v>74</v>
      </c>
      <c r="E266" s="27"/>
      <c r="F266" s="27"/>
      <c r="G266" s="8"/>
    </row>
    <row r="267" spans="1:7" s="9" customFormat="1" ht="139.5" x14ac:dyDescent="0.3">
      <c r="A267" s="117">
        <f t="shared" si="14"/>
        <v>14.209999999999996</v>
      </c>
      <c r="B267" s="122" t="s">
        <v>95</v>
      </c>
      <c r="C267" s="108">
        <v>8</v>
      </c>
      <c r="D267" s="93" t="s">
        <v>74</v>
      </c>
      <c r="E267" s="94"/>
      <c r="F267" s="94"/>
      <c r="G267" s="8"/>
    </row>
    <row r="268" spans="1:7" s="9" customFormat="1" ht="69.75" x14ac:dyDescent="0.2">
      <c r="A268" s="117">
        <f t="shared" si="14"/>
        <v>14.219999999999995</v>
      </c>
      <c r="B268" s="123" t="s">
        <v>209</v>
      </c>
      <c r="C268" s="112">
        <v>36</v>
      </c>
      <c r="D268" s="112" t="s">
        <v>74</v>
      </c>
      <c r="E268" s="124"/>
      <c r="F268" s="124"/>
      <c r="G268" s="125"/>
    </row>
    <row r="269" spans="1:7" s="9" customFormat="1" ht="23.25" x14ac:dyDescent="0.35">
      <c r="A269" s="117">
        <f t="shared" ref="A269:A332" si="15">A268+0.01</f>
        <v>14.229999999999995</v>
      </c>
      <c r="B269" s="85" t="s">
        <v>96</v>
      </c>
      <c r="C269" s="93">
        <v>10</v>
      </c>
      <c r="D269" s="82" t="s">
        <v>74</v>
      </c>
      <c r="E269" s="27"/>
      <c r="F269" s="27"/>
      <c r="G269" s="8"/>
    </row>
    <row r="270" spans="1:7" s="9" customFormat="1" ht="23.25" x14ac:dyDescent="0.35">
      <c r="A270" s="117">
        <f t="shared" si="15"/>
        <v>14.239999999999995</v>
      </c>
      <c r="B270" s="84" t="s">
        <v>97</v>
      </c>
      <c r="C270" s="93">
        <v>20</v>
      </c>
      <c r="D270" s="82" t="s">
        <v>74</v>
      </c>
      <c r="E270" s="27"/>
      <c r="F270" s="27"/>
      <c r="G270" s="8"/>
    </row>
    <row r="271" spans="1:7" s="9" customFormat="1" ht="23.25" x14ac:dyDescent="0.35">
      <c r="A271" s="117">
        <f t="shared" si="15"/>
        <v>14.249999999999995</v>
      </c>
      <c r="B271" s="90" t="s">
        <v>98</v>
      </c>
      <c r="C271" s="93">
        <v>20</v>
      </c>
      <c r="D271" s="82" t="s">
        <v>74</v>
      </c>
      <c r="E271" s="27"/>
      <c r="F271" s="27"/>
      <c r="G271" s="8"/>
    </row>
    <row r="272" spans="1:7" s="9" customFormat="1" ht="23.25" x14ac:dyDescent="0.35">
      <c r="A272" s="117">
        <f t="shared" si="15"/>
        <v>14.259999999999994</v>
      </c>
      <c r="B272" s="1" t="s">
        <v>99</v>
      </c>
      <c r="C272" s="93">
        <v>68</v>
      </c>
      <c r="D272" s="82" t="s">
        <v>74</v>
      </c>
      <c r="E272" s="27"/>
      <c r="F272" s="27"/>
      <c r="G272" s="8"/>
    </row>
    <row r="273" spans="1:7" s="9" customFormat="1" ht="23.25" x14ac:dyDescent="0.35">
      <c r="A273" s="117">
        <f t="shared" si="15"/>
        <v>14.269999999999994</v>
      </c>
      <c r="B273" s="1" t="s">
        <v>100</v>
      </c>
      <c r="C273" s="109">
        <v>340</v>
      </c>
      <c r="D273" s="91" t="s">
        <v>101</v>
      </c>
      <c r="E273" s="27"/>
      <c r="F273" s="27"/>
      <c r="G273" s="8"/>
    </row>
    <row r="274" spans="1:7" s="9" customFormat="1" ht="23.25" x14ac:dyDescent="0.35">
      <c r="A274" s="117">
        <f t="shared" si="15"/>
        <v>14.279999999999994</v>
      </c>
      <c r="B274" s="1" t="s">
        <v>102</v>
      </c>
      <c r="C274" s="109">
        <v>170</v>
      </c>
      <c r="D274" s="91" t="s">
        <v>101</v>
      </c>
      <c r="E274" s="27"/>
      <c r="F274" s="27"/>
      <c r="G274" s="8"/>
    </row>
    <row r="275" spans="1:7" s="9" customFormat="1" ht="23.25" x14ac:dyDescent="0.35">
      <c r="A275" s="117">
        <f t="shared" si="15"/>
        <v>14.289999999999994</v>
      </c>
      <c r="B275" s="1" t="s">
        <v>103</v>
      </c>
      <c r="C275" s="111">
        <v>125</v>
      </c>
      <c r="D275" s="82" t="s">
        <v>104</v>
      </c>
      <c r="E275" s="27"/>
      <c r="F275" s="27"/>
      <c r="G275" s="8"/>
    </row>
    <row r="276" spans="1:7" s="9" customFormat="1" ht="23.25" x14ac:dyDescent="0.35">
      <c r="A276" s="117">
        <f t="shared" si="15"/>
        <v>14.299999999999994</v>
      </c>
      <c r="B276" s="1" t="s">
        <v>105</v>
      </c>
      <c r="C276" s="111">
        <v>70</v>
      </c>
      <c r="D276" s="82" t="s">
        <v>104</v>
      </c>
      <c r="E276" s="27"/>
      <c r="F276" s="27"/>
      <c r="G276" s="8"/>
    </row>
    <row r="277" spans="1:7" s="9" customFormat="1" ht="23.25" x14ac:dyDescent="0.35">
      <c r="A277" s="117">
        <f t="shared" si="15"/>
        <v>14.309999999999993</v>
      </c>
      <c r="B277" s="1" t="s">
        <v>106</v>
      </c>
      <c r="C277" s="111">
        <v>35</v>
      </c>
      <c r="D277" s="82" t="s">
        <v>104</v>
      </c>
      <c r="E277" s="27"/>
      <c r="F277" s="27"/>
      <c r="G277" s="8"/>
    </row>
    <row r="278" spans="1:7" s="9" customFormat="1" ht="23.25" x14ac:dyDescent="0.35">
      <c r="A278" s="117">
        <f t="shared" si="15"/>
        <v>14.319999999999993</v>
      </c>
      <c r="B278" s="1" t="s">
        <v>107</v>
      </c>
      <c r="C278" s="111">
        <v>1500</v>
      </c>
      <c r="D278" s="82" t="s">
        <v>104</v>
      </c>
      <c r="E278" s="27"/>
      <c r="F278" s="27"/>
      <c r="G278" s="8"/>
    </row>
    <row r="279" spans="1:7" s="9" customFormat="1" ht="23.25" x14ac:dyDescent="0.35">
      <c r="A279" s="117">
        <f t="shared" si="15"/>
        <v>14.329999999999993</v>
      </c>
      <c r="B279" s="1" t="s">
        <v>108</v>
      </c>
      <c r="C279" s="111">
        <v>411</v>
      </c>
      <c r="D279" s="82" t="s">
        <v>104</v>
      </c>
      <c r="E279" s="27"/>
      <c r="F279" s="27"/>
      <c r="G279" s="8"/>
    </row>
    <row r="280" spans="1:7" s="9" customFormat="1" ht="23.25" x14ac:dyDescent="0.35">
      <c r="A280" s="117">
        <f t="shared" si="15"/>
        <v>14.339999999999993</v>
      </c>
      <c r="B280" s="1" t="s">
        <v>109</v>
      </c>
      <c r="C280" s="111">
        <v>1000</v>
      </c>
      <c r="D280" s="82" t="s">
        <v>104</v>
      </c>
      <c r="E280" s="27"/>
      <c r="F280" s="27"/>
      <c r="G280" s="8"/>
    </row>
    <row r="281" spans="1:7" s="9" customFormat="1" ht="23.25" x14ac:dyDescent="0.35">
      <c r="A281" s="117">
        <f t="shared" si="15"/>
        <v>14.349999999999993</v>
      </c>
      <c r="B281" s="1" t="s">
        <v>110</v>
      </c>
      <c r="C281" s="111">
        <v>1400</v>
      </c>
      <c r="D281" s="82" t="s">
        <v>104</v>
      </c>
      <c r="E281" s="27"/>
      <c r="F281" s="27"/>
      <c r="G281" s="8"/>
    </row>
    <row r="282" spans="1:7" s="9" customFormat="1" ht="23.25" x14ac:dyDescent="0.35">
      <c r="A282" s="117">
        <f t="shared" si="15"/>
        <v>14.359999999999992</v>
      </c>
      <c r="B282" s="1" t="s">
        <v>111</v>
      </c>
      <c r="C282" s="93">
        <v>500</v>
      </c>
      <c r="D282" s="82" t="s">
        <v>104</v>
      </c>
      <c r="E282" s="29"/>
      <c r="F282" s="83"/>
      <c r="G282" s="8"/>
    </row>
    <row r="283" spans="1:7" s="9" customFormat="1" ht="23.25" x14ac:dyDescent="0.35">
      <c r="A283" s="117">
        <f t="shared" si="15"/>
        <v>14.369999999999992</v>
      </c>
      <c r="B283" s="92" t="s">
        <v>112</v>
      </c>
      <c r="C283" s="109">
        <v>390</v>
      </c>
      <c r="D283" s="91" t="s">
        <v>101</v>
      </c>
      <c r="E283" s="27"/>
      <c r="F283" s="27"/>
      <c r="G283" s="8"/>
    </row>
    <row r="284" spans="1:7" s="9" customFormat="1" ht="23.25" x14ac:dyDescent="0.35">
      <c r="A284" s="117">
        <f t="shared" si="15"/>
        <v>14.379999999999992</v>
      </c>
      <c r="B284" s="1" t="s">
        <v>113</v>
      </c>
      <c r="C284" s="108">
        <v>25</v>
      </c>
      <c r="D284" s="82" t="s">
        <v>74</v>
      </c>
      <c r="E284" s="27"/>
      <c r="F284" s="27"/>
      <c r="G284" s="8"/>
    </row>
    <row r="285" spans="1:7" s="9" customFormat="1" ht="23.25" x14ac:dyDescent="0.3">
      <c r="A285" s="117">
        <f t="shared" si="15"/>
        <v>14.389999999999992</v>
      </c>
      <c r="B285" s="53" t="s">
        <v>114</v>
      </c>
      <c r="C285" s="108">
        <v>4</v>
      </c>
      <c r="D285" s="93" t="s">
        <v>74</v>
      </c>
      <c r="E285" s="94"/>
      <c r="F285" s="94"/>
      <c r="G285" s="8"/>
    </row>
    <row r="286" spans="1:7" s="9" customFormat="1" ht="23.25" x14ac:dyDescent="0.3">
      <c r="A286" s="117">
        <f t="shared" si="15"/>
        <v>14.399999999999991</v>
      </c>
      <c r="B286" s="53" t="s">
        <v>115</v>
      </c>
      <c r="C286" s="108">
        <v>42</v>
      </c>
      <c r="D286" s="93" t="s">
        <v>74</v>
      </c>
      <c r="E286" s="94"/>
      <c r="F286" s="94"/>
      <c r="G286" s="8"/>
    </row>
    <row r="287" spans="1:7" s="9" customFormat="1" ht="23.25" x14ac:dyDescent="0.35">
      <c r="A287" s="117">
        <f t="shared" si="15"/>
        <v>14.409999999999991</v>
      </c>
      <c r="B287" s="1" t="s">
        <v>116</v>
      </c>
      <c r="C287" s="108">
        <v>6</v>
      </c>
      <c r="D287" s="82" t="s">
        <v>74</v>
      </c>
      <c r="E287" s="27"/>
      <c r="F287" s="27"/>
      <c r="G287" s="8"/>
    </row>
    <row r="288" spans="1:7" s="9" customFormat="1" ht="23.25" x14ac:dyDescent="0.35">
      <c r="A288" s="117">
        <f t="shared" si="15"/>
        <v>14.419999999999991</v>
      </c>
      <c r="B288" s="1" t="s">
        <v>117</v>
      </c>
      <c r="C288" s="108">
        <v>16</v>
      </c>
      <c r="D288" s="82" t="s">
        <v>74</v>
      </c>
      <c r="E288" s="27"/>
      <c r="F288" s="27"/>
      <c r="G288" s="8"/>
    </row>
    <row r="289" spans="1:7" s="9" customFormat="1" ht="23.25" x14ac:dyDescent="0.35">
      <c r="A289" s="117">
        <f t="shared" si="15"/>
        <v>14.429999999999991</v>
      </c>
      <c r="B289" s="88" t="s">
        <v>118</v>
      </c>
      <c r="C289" s="93">
        <v>8</v>
      </c>
      <c r="D289" s="82" t="s">
        <v>86</v>
      </c>
      <c r="E289" s="27"/>
      <c r="F289" s="83"/>
      <c r="G289" s="8"/>
    </row>
    <row r="290" spans="1:7" s="9" customFormat="1" ht="23.25" x14ac:dyDescent="0.35">
      <c r="A290" s="117">
        <f t="shared" si="15"/>
        <v>14.439999999999991</v>
      </c>
      <c r="B290" s="1" t="s">
        <v>119</v>
      </c>
      <c r="C290" s="108">
        <v>10</v>
      </c>
      <c r="D290" s="82" t="s">
        <v>74</v>
      </c>
      <c r="E290" s="27"/>
      <c r="F290" s="27"/>
      <c r="G290" s="8"/>
    </row>
    <row r="291" spans="1:7" s="9" customFormat="1" ht="23.25" x14ac:dyDescent="0.35">
      <c r="A291" s="117">
        <f t="shared" si="15"/>
        <v>14.44999999999999</v>
      </c>
      <c r="B291" s="85" t="s">
        <v>81</v>
      </c>
      <c r="C291" s="108">
        <v>9</v>
      </c>
      <c r="D291" s="82" t="s">
        <v>74</v>
      </c>
      <c r="E291" s="27"/>
      <c r="F291" s="27"/>
      <c r="G291" s="8"/>
    </row>
    <row r="292" spans="1:7" s="9" customFormat="1" ht="23.25" x14ac:dyDescent="0.35">
      <c r="A292" s="117">
        <f t="shared" si="15"/>
        <v>14.45999999999999</v>
      </c>
      <c r="B292" s="89" t="s">
        <v>120</v>
      </c>
      <c r="C292" s="93">
        <v>11</v>
      </c>
      <c r="D292" s="82" t="s">
        <v>74</v>
      </c>
      <c r="E292" s="27"/>
      <c r="F292" s="27"/>
      <c r="G292" s="8"/>
    </row>
    <row r="293" spans="1:7" s="9" customFormat="1" ht="23.25" x14ac:dyDescent="0.35">
      <c r="A293" s="117">
        <f t="shared" si="15"/>
        <v>14.46999999999999</v>
      </c>
      <c r="B293" s="1" t="s">
        <v>121</v>
      </c>
      <c r="C293" s="108">
        <v>4</v>
      </c>
      <c r="D293" s="82" t="s">
        <v>74</v>
      </c>
      <c r="E293" s="27"/>
      <c r="F293" s="27"/>
      <c r="G293" s="8"/>
    </row>
    <row r="294" spans="1:7" s="9" customFormat="1" ht="23.25" x14ac:dyDescent="0.35">
      <c r="A294" s="117">
        <f t="shared" si="15"/>
        <v>14.47999999999999</v>
      </c>
      <c r="B294" s="88" t="s">
        <v>122</v>
      </c>
      <c r="C294" s="93">
        <v>16</v>
      </c>
      <c r="D294" s="82" t="s">
        <v>86</v>
      </c>
      <c r="E294" s="27"/>
      <c r="F294" s="83"/>
      <c r="G294" s="8"/>
    </row>
    <row r="295" spans="1:7" s="9" customFormat="1" ht="23.25" x14ac:dyDescent="0.35">
      <c r="A295" s="117">
        <f t="shared" si="15"/>
        <v>14.48999999999999</v>
      </c>
      <c r="B295" s="88" t="s">
        <v>123</v>
      </c>
      <c r="C295" s="93">
        <v>16</v>
      </c>
      <c r="D295" s="82" t="s">
        <v>86</v>
      </c>
      <c r="E295" s="27"/>
      <c r="F295" s="83"/>
      <c r="G295" s="8"/>
    </row>
    <row r="296" spans="1:7" s="9" customFormat="1" ht="23.25" x14ac:dyDescent="0.35">
      <c r="A296" s="117">
        <f t="shared" si="15"/>
        <v>14.499999999999989</v>
      </c>
      <c r="B296" s="95" t="s">
        <v>124</v>
      </c>
      <c r="C296" s="108">
        <v>3</v>
      </c>
      <c r="D296" s="82" t="s">
        <v>74</v>
      </c>
      <c r="E296" s="27"/>
      <c r="F296" s="27"/>
      <c r="G296" s="8"/>
    </row>
    <row r="297" spans="1:7" s="9" customFormat="1" ht="23.25" x14ac:dyDescent="0.35">
      <c r="A297" s="117">
        <f t="shared" si="15"/>
        <v>14.509999999999989</v>
      </c>
      <c r="B297" s="1" t="s">
        <v>125</v>
      </c>
      <c r="C297" s="111">
        <v>12</v>
      </c>
      <c r="D297" s="82" t="s">
        <v>74</v>
      </c>
      <c r="E297" s="27"/>
      <c r="F297" s="27"/>
      <c r="G297" s="8"/>
    </row>
    <row r="298" spans="1:7" s="9" customFormat="1" ht="23.25" x14ac:dyDescent="0.35">
      <c r="A298" s="117">
        <f t="shared" si="15"/>
        <v>14.519999999999989</v>
      </c>
      <c r="B298" s="88" t="s">
        <v>85</v>
      </c>
      <c r="C298" s="93">
        <v>12</v>
      </c>
      <c r="D298" s="82" t="s">
        <v>86</v>
      </c>
      <c r="E298" s="27"/>
      <c r="F298" s="83"/>
      <c r="G298" s="8"/>
    </row>
    <row r="299" spans="1:7" s="9" customFormat="1" ht="23.25" x14ac:dyDescent="0.35">
      <c r="A299" s="117">
        <f t="shared" si="15"/>
        <v>14.529999999999989</v>
      </c>
      <c r="B299" s="1" t="s">
        <v>126</v>
      </c>
      <c r="C299" s="108">
        <v>1</v>
      </c>
      <c r="D299" s="82" t="s">
        <v>74</v>
      </c>
      <c r="E299" s="27"/>
      <c r="F299" s="27"/>
      <c r="G299" s="8"/>
    </row>
    <row r="300" spans="1:7" s="9" customFormat="1" ht="23.25" x14ac:dyDescent="0.35">
      <c r="A300" s="117">
        <f t="shared" si="15"/>
        <v>14.539999999999988</v>
      </c>
      <c r="B300" s="89" t="s">
        <v>127</v>
      </c>
      <c r="C300" s="108">
        <v>8</v>
      </c>
      <c r="D300" s="82" t="s">
        <v>74</v>
      </c>
      <c r="E300" s="27"/>
      <c r="F300" s="27"/>
      <c r="G300" s="8"/>
    </row>
    <row r="301" spans="1:7" s="9" customFormat="1" ht="23.25" x14ac:dyDescent="0.35">
      <c r="A301" s="117">
        <f t="shared" si="15"/>
        <v>14.549999999999988</v>
      </c>
      <c r="B301" s="96" t="s">
        <v>128</v>
      </c>
      <c r="C301" s="108">
        <v>8</v>
      </c>
      <c r="D301" s="82" t="s">
        <v>74</v>
      </c>
      <c r="E301" s="27"/>
      <c r="F301" s="27"/>
      <c r="G301" s="8"/>
    </row>
    <row r="302" spans="1:7" s="9" customFormat="1" ht="23.25" x14ac:dyDescent="0.35">
      <c r="A302" s="117">
        <f t="shared" si="15"/>
        <v>14.559999999999988</v>
      </c>
      <c r="B302" s="89" t="s">
        <v>129</v>
      </c>
      <c r="C302" s="93">
        <v>16</v>
      </c>
      <c r="D302" s="82" t="s">
        <v>74</v>
      </c>
      <c r="E302" s="27"/>
      <c r="F302" s="27"/>
      <c r="G302" s="8"/>
    </row>
    <row r="303" spans="1:7" s="9" customFormat="1" ht="23.25" x14ac:dyDescent="0.35">
      <c r="A303" s="117">
        <f t="shared" si="15"/>
        <v>14.569999999999988</v>
      </c>
      <c r="B303" s="89" t="s">
        <v>130</v>
      </c>
      <c r="C303" s="108">
        <v>108</v>
      </c>
      <c r="D303" s="82" t="s">
        <v>74</v>
      </c>
      <c r="E303" s="27"/>
      <c r="F303" s="27"/>
      <c r="G303" s="8"/>
    </row>
    <row r="304" spans="1:7" s="9" customFormat="1" ht="23.25" x14ac:dyDescent="0.35">
      <c r="A304" s="117">
        <f t="shared" si="15"/>
        <v>14.579999999999988</v>
      </c>
      <c r="B304" s="96" t="s">
        <v>131</v>
      </c>
      <c r="C304" s="108">
        <v>108</v>
      </c>
      <c r="D304" s="82" t="s">
        <v>74</v>
      </c>
      <c r="E304" s="27"/>
      <c r="F304" s="27"/>
      <c r="G304" s="8"/>
    </row>
    <row r="305" spans="1:7" s="9" customFormat="1" ht="23.25" x14ac:dyDescent="0.35">
      <c r="A305" s="117">
        <f t="shared" si="15"/>
        <v>14.589999999999987</v>
      </c>
      <c r="B305" s="89" t="s">
        <v>132</v>
      </c>
      <c r="C305" s="93">
        <v>32</v>
      </c>
      <c r="D305" s="82" t="s">
        <v>74</v>
      </c>
      <c r="E305" s="27"/>
      <c r="F305" s="27"/>
      <c r="G305" s="8"/>
    </row>
    <row r="306" spans="1:7" s="9" customFormat="1" ht="23.25" x14ac:dyDescent="0.35">
      <c r="A306" s="117">
        <f t="shared" si="15"/>
        <v>14.599999999999987</v>
      </c>
      <c r="B306" s="89" t="s">
        <v>133</v>
      </c>
      <c r="C306" s="93">
        <v>32</v>
      </c>
      <c r="D306" s="82" t="s">
        <v>74</v>
      </c>
      <c r="E306" s="27"/>
      <c r="F306" s="27"/>
      <c r="G306" s="8"/>
    </row>
    <row r="307" spans="1:7" s="9" customFormat="1" ht="23.25" x14ac:dyDescent="0.35">
      <c r="A307" s="117">
        <f t="shared" si="15"/>
        <v>14.609999999999987</v>
      </c>
      <c r="B307" s="97" t="s">
        <v>134</v>
      </c>
      <c r="C307" s="112">
        <v>81</v>
      </c>
      <c r="D307" s="82" t="s">
        <v>135</v>
      </c>
      <c r="E307" s="27"/>
      <c r="F307" s="27"/>
      <c r="G307" s="8"/>
    </row>
    <row r="308" spans="1:7" s="9" customFormat="1" ht="23.25" x14ac:dyDescent="0.35">
      <c r="A308" s="117">
        <f t="shared" si="15"/>
        <v>14.619999999999987</v>
      </c>
      <c r="B308" s="85" t="s">
        <v>136</v>
      </c>
      <c r="C308" s="108">
        <v>12</v>
      </c>
      <c r="D308" s="82" t="s">
        <v>74</v>
      </c>
      <c r="E308" s="27"/>
      <c r="F308" s="27"/>
      <c r="G308" s="8"/>
    </row>
    <row r="309" spans="1:7" s="9" customFormat="1" ht="23.25" x14ac:dyDescent="0.35">
      <c r="A309" s="117">
        <f t="shared" si="15"/>
        <v>14.629999999999987</v>
      </c>
      <c r="B309" s="97" t="s">
        <v>137</v>
      </c>
      <c r="C309" s="110">
        <v>0.3</v>
      </c>
      <c r="D309" s="98" t="s">
        <v>138</v>
      </c>
      <c r="E309" s="27"/>
      <c r="F309" s="27"/>
      <c r="G309" s="8"/>
    </row>
    <row r="310" spans="1:7" s="9" customFormat="1" ht="23.25" x14ac:dyDescent="0.35">
      <c r="A310" s="117"/>
      <c r="B310" s="53"/>
      <c r="C310" s="108"/>
      <c r="D310" s="82"/>
      <c r="E310" s="27"/>
      <c r="F310" s="27"/>
      <c r="G310" s="8"/>
    </row>
    <row r="311" spans="1:7" s="9" customFormat="1" ht="23.25" x14ac:dyDescent="0.35">
      <c r="A311" s="117"/>
      <c r="B311" s="1"/>
      <c r="C311" s="108"/>
      <c r="D311" s="82"/>
      <c r="E311" s="27"/>
      <c r="F311" s="27"/>
      <c r="G311" s="8"/>
    </row>
    <row r="312" spans="1:7" s="9" customFormat="1" ht="23.25" x14ac:dyDescent="0.35">
      <c r="A312" s="115">
        <v>15</v>
      </c>
      <c r="B312" s="121" t="s">
        <v>139</v>
      </c>
      <c r="C312" s="93"/>
      <c r="D312" s="82"/>
      <c r="E312" s="29"/>
      <c r="F312" s="83"/>
      <c r="G312" s="8"/>
    </row>
    <row r="313" spans="1:7" s="9" customFormat="1" ht="23.25" x14ac:dyDescent="0.3">
      <c r="A313" s="117">
        <f t="shared" si="15"/>
        <v>15.01</v>
      </c>
      <c r="B313" s="95" t="s">
        <v>140</v>
      </c>
      <c r="C313" s="93">
        <v>1</v>
      </c>
      <c r="D313" s="93" t="s">
        <v>74</v>
      </c>
      <c r="E313" s="94"/>
      <c r="F313" s="94"/>
      <c r="G313" s="8"/>
    </row>
    <row r="314" spans="1:7" s="9" customFormat="1" ht="23.25" x14ac:dyDescent="0.3">
      <c r="A314" s="117">
        <f t="shared" si="15"/>
        <v>15.02</v>
      </c>
      <c r="B314" s="95" t="s">
        <v>141</v>
      </c>
      <c r="C314" s="93">
        <v>2</v>
      </c>
      <c r="D314" s="93" t="s">
        <v>74</v>
      </c>
      <c r="E314" s="94"/>
      <c r="F314" s="94"/>
      <c r="G314" s="8"/>
    </row>
    <row r="315" spans="1:7" s="9" customFormat="1" ht="23.25" x14ac:dyDescent="0.35">
      <c r="A315" s="117">
        <f t="shared" si="15"/>
        <v>15.03</v>
      </c>
      <c r="B315" s="1" t="s">
        <v>142</v>
      </c>
      <c r="C315" s="93">
        <v>2</v>
      </c>
      <c r="D315" s="82" t="s">
        <v>74</v>
      </c>
      <c r="E315" s="27"/>
      <c r="F315" s="27"/>
      <c r="G315" s="8"/>
    </row>
    <row r="316" spans="1:7" s="9" customFormat="1" ht="23.25" x14ac:dyDescent="0.35">
      <c r="A316" s="117">
        <f t="shared" si="15"/>
        <v>15.04</v>
      </c>
      <c r="B316" s="97" t="s">
        <v>143</v>
      </c>
      <c r="C316" s="93">
        <v>2</v>
      </c>
      <c r="D316" s="82" t="s">
        <v>74</v>
      </c>
      <c r="E316" s="27"/>
      <c r="F316" s="27"/>
      <c r="G316" s="8"/>
    </row>
    <row r="317" spans="1:7" s="9" customFormat="1" ht="23.25" x14ac:dyDescent="0.35">
      <c r="A317" s="117">
        <f t="shared" si="15"/>
        <v>15.049999999999999</v>
      </c>
      <c r="B317" s="1" t="s">
        <v>144</v>
      </c>
      <c r="C317" s="93">
        <v>4</v>
      </c>
      <c r="D317" s="82" t="s">
        <v>74</v>
      </c>
      <c r="E317" s="27"/>
      <c r="F317" s="27"/>
      <c r="G317" s="8"/>
    </row>
    <row r="318" spans="1:7" s="9" customFormat="1" ht="23.25" x14ac:dyDescent="0.3">
      <c r="A318" s="117">
        <f t="shared" si="15"/>
        <v>15.059999999999999</v>
      </c>
      <c r="B318" s="99" t="s">
        <v>145</v>
      </c>
      <c r="C318" s="93">
        <v>4</v>
      </c>
      <c r="D318" s="93" t="s">
        <v>74</v>
      </c>
      <c r="E318" s="94"/>
      <c r="F318" s="94"/>
      <c r="G318" s="8"/>
    </row>
    <row r="319" spans="1:7" s="9" customFormat="1" ht="23.25" x14ac:dyDescent="0.35">
      <c r="A319" s="117">
        <f t="shared" si="15"/>
        <v>15.069999999999999</v>
      </c>
      <c r="B319" s="1" t="s">
        <v>146</v>
      </c>
      <c r="C319" s="93">
        <v>1000</v>
      </c>
      <c r="D319" s="82" t="s">
        <v>104</v>
      </c>
      <c r="E319" s="29"/>
      <c r="F319" s="83"/>
      <c r="G319" s="8"/>
    </row>
    <row r="320" spans="1:7" s="9" customFormat="1" ht="23.25" x14ac:dyDescent="0.35">
      <c r="A320" s="117">
        <f t="shared" si="15"/>
        <v>15.079999999999998</v>
      </c>
      <c r="B320" s="1" t="s">
        <v>147</v>
      </c>
      <c r="C320" s="93">
        <v>600</v>
      </c>
      <c r="D320" s="82" t="s">
        <v>104</v>
      </c>
      <c r="E320" s="29"/>
      <c r="F320" s="83"/>
      <c r="G320" s="8"/>
    </row>
    <row r="321" spans="1:7" s="9" customFormat="1" ht="23.25" x14ac:dyDescent="0.35">
      <c r="A321" s="117">
        <f t="shared" si="15"/>
        <v>15.089999999999998</v>
      </c>
      <c r="B321" s="1" t="s">
        <v>148</v>
      </c>
      <c r="C321" s="93">
        <v>500</v>
      </c>
      <c r="D321" s="82" t="s">
        <v>104</v>
      </c>
      <c r="E321" s="29"/>
      <c r="F321" s="83"/>
      <c r="G321" s="8"/>
    </row>
    <row r="322" spans="1:7" s="9" customFormat="1" ht="23.25" x14ac:dyDescent="0.3">
      <c r="A322" s="117">
        <f t="shared" si="15"/>
        <v>15.099999999999998</v>
      </c>
      <c r="B322" s="100" t="s">
        <v>149</v>
      </c>
      <c r="C322" s="93">
        <v>9</v>
      </c>
      <c r="D322" s="93" t="s">
        <v>86</v>
      </c>
      <c r="E322" s="94"/>
      <c r="F322" s="94"/>
      <c r="G322" s="8"/>
    </row>
    <row r="323" spans="1:7" s="9" customFormat="1" ht="23.25" x14ac:dyDescent="0.3">
      <c r="A323" s="117">
        <f t="shared" si="15"/>
        <v>15.109999999999998</v>
      </c>
      <c r="B323" s="100" t="s">
        <v>150</v>
      </c>
      <c r="C323" s="93">
        <v>5</v>
      </c>
      <c r="D323" s="93" t="s">
        <v>86</v>
      </c>
      <c r="E323" s="94"/>
      <c r="F323" s="94"/>
      <c r="G323" s="8"/>
    </row>
    <row r="324" spans="1:7" s="9" customFormat="1" ht="23.25" x14ac:dyDescent="0.3">
      <c r="A324" s="117">
        <f t="shared" si="15"/>
        <v>15.119999999999997</v>
      </c>
      <c r="B324" s="101" t="s">
        <v>151</v>
      </c>
      <c r="C324" s="93">
        <v>5</v>
      </c>
      <c r="D324" s="93" t="s">
        <v>74</v>
      </c>
      <c r="E324" s="94"/>
      <c r="F324" s="94"/>
      <c r="G324" s="8"/>
    </row>
    <row r="325" spans="1:7" s="9" customFormat="1" ht="23.25" x14ac:dyDescent="0.3">
      <c r="A325" s="117">
        <f t="shared" si="15"/>
        <v>15.129999999999997</v>
      </c>
      <c r="B325" s="84" t="s">
        <v>152</v>
      </c>
      <c r="C325" s="93">
        <v>1</v>
      </c>
      <c r="D325" s="93" t="s">
        <v>74</v>
      </c>
      <c r="E325" s="94"/>
      <c r="F325" s="94"/>
      <c r="G325" s="8"/>
    </row>
    <row r="326" spans="1:7" s="9" customFormat="1" ht="23.25" x14ac:dyDescent="0.3">
      <c r="A326" s="117">
        <f t="shared" si="15"/>
        <v>15.139999999999997</v>
      </c>
      <c r="B326" s="84" t="s">
        <v>153</v>
      </c>
      <c r="C326" s="93">
        <v>4</v>
      </c>
      <c r="D326" s="93" t="s">
        <v>74</v>
      </c>
      <c r="E326" s="94"/>
      <c r="F326" s="94"/>
      <c r="G326" s="8"/>
    </row>
    <row r="327" spans="1:7" s="9" customFormat="1" ht="23.25" x14ac:dyDescent="0.35">
      <c r="A327" s="117">
        <f t="shared" si="15"/>
        <v>15.149999999999997</v>
      </c>
      <c r="B327" s="95" t="s">
        <v>154</v>
      </c>
      <c r="C327" s="108">
        <v>16</v>
      </c>
      <c r="D327" s="82" t="s">
        <v>74</v>
      </c>
      <c r="E327" s="27"/>
      <c r="F327" s="27"/>
      <c r="G327" s="8"/>
    </row>
    <row r="328" spans="1:7" s="9" customFormat="1" ht="23.25" x14ac:dyDescent="0.35">
      <c r="A328" s="117">
        <f t="shared" si="15"/>
        <v>15.159999999999997</v>
      </c>
      <c r="B328" s="88" t="s">
        <v>155</v>
      </c>
      <c r="C328" s="93">
        <v>32</v>
      </c>
      <c r="D328" s="82" t="s">
        <v>86</v>
      </c>
      <c r="E328" s="27"/>
      <c r="F328" s="83"/>
      <c r="G328" s="8"/>
    </row>
    <row r="329" spans="1:7" s="9" customFormat="1" ht="23.25" x14ac:dyDescent="0.35">
      <c r="A329" s="117">
        <f t="shared" si="15"/>
        <v>15.169999999999996</v>
      </c>
      <c r="B329" s="88" t="s">
        <v>156</v>
      </c>
      <c r="C329" s="93">
        <v>12</v>
      </c>
      <c r="D329" s="82" t="s">
        <v>86</v>
      </c>
      <c r="E329" s="27"/>
      <c r="F329" s="83"/>
      <c r="G329" s="8"/>
    </row>
    <row r="330" spans="1:7" s="9" customFormat="1" ht="23.25" x14ac:dyDescent="0.35">
      <c r="A330" s="117">
        <f t="shared" si="15"/>
        <v>15.179999999999996</v>
      </c>
      <c r="B330" s="88" t="s">
        <v>157</v>
      </c>
      <c r="C330" s="93">
        <v>14</v>
      </c>
      <c r="D330" s="82" t="s">
        <v>86</v>
      </c>
      <c r="E330" s="27"/>
      <c r="F330" s="83"/>
      <c r="G330" s="8"/>
    </row>
    <row r="331" spans="1:7" s="9" customFormat="1" ht="23.25" x14ac:dyDescent="0.35">
      <c r="A331" s="117">
        <f t="shared" si="15"/>
        <v>15.189999999999996</v>
      </c>
      <c r="B331" s="1" t="s">
        <v>158</v>
      </c>
      <c r="C331" s="108">
        <v>4</v>
      </c>
      <c r="D331" s="82" t="s">
        <v>74</v>
      </c>
      <c r="E331" s="27"/>
      <c r="F331" s="27"/>
      <c r="G331" s="8"/>
    </row>
    <row r="332" spans="1:7" s="9" customFormat="1" ht="23.25" x14ac:dyDescent="0.35">
      <c r="A332" s="117">
        <f t="shared" si="15"/>
        <v>15.199999999999996</v>
      </c>
      <c r="B332" s="1" t="s">
        <v>159</v>
      </c>
      <c r="C332" s="108">
        <v>3</v>
      </c>
      <c r="D332" s="82" t="s">
        <v>74</v>
      </c>
      <c r="E332" s="27"/>
      <c r="F332" s="27"/>
      <c r="G332" s="8"/>
    </row>
    <row r="333" spans="1:7" s="9" customFormat="1" ht="23.25" x14ac:dyDescent="0.35">
      <c r="A333" s="117">
        <f t="shared" ref="A333:A340" si="16">A332+0.01</f>
        <v>15.209999999999996</v>
      </c>
      <c r="B333" s="1" t="s">
        <v>160</v>
      </c>
      <c r="C333" s="108">
        <v>8</v>
      </c>
      <c r="D333" s="82" t="s">
        <v>74</v>
      </c>
      <c r="E333" s="27"/>
      <c r="F333" s="27"/>
      <c r="G333" s="8"/>
    </row>
    <row r="334" spans="1:7" s="9" customFormat="1" ht="23.25" x14ac:dyDescent="0.35">
      <c r="A334" s="117">
        <f t="shared" si="16"/>
        <v>15.219999999999995</v>
      </c>
      <c r="B334" s="1" t="s">
        <v>161</v>
      </c>
      <c r="C334" s="108">
        <v>4</v>
      </c>
      <c r="D334" s="82" t="s">
        <v>74</v>
      </c>
      <c r="E334" s="27"/>
      <c r="F334" s="27"/>
      <c r="G334" s="8"/>
    </row>
    <row r="335" spans="1:7" s="9" customFormat="1" ht="23.25" x14ac:dyDescent="0.35">
      <c r="A335" s="117">
        <f t="shared" si="16"/>
        <v>15.229999999999995</v>
      </c>
      <c r="B335" s="101" t="s">
        <v>162</v>
      </c>
      <c r="C335" s="111">
        <v>2</v>
      </c>
      <c r="D335" s="82" t="s">
        <v>74</v>
      </c>
      <c r="E335" s="27"/>
      <c r="F335" s="27"/>
      <c r="G335" s="8"/>
    </row>
    <row r="336" spans="1:7" s="9" customFormat="1" ht="23.25" x14ac:dyDescent="0.35">
      <c r="A336" s="117">
        <f t="shared" si="16"/>
        <v>15.239999999999995</v>
      </c>
      <c r="B336" s="101" t="s">
        <v>163</v>
      </c>
      <c r="C336" s="111">
        <v>2</v>
      </c>
      <c r="D336" s="82" t="s">
        <v>74</v>
      </c>
      <c r="E336" s="27"/>
      <c r="F336" s="27"/>
      <c r="G336" s="8"/>
    </row>
    <row r="337" spans="1:7" s="9" customFormat="1" ht="23.25" x14ac:dyDescent="0.3">
      <c r="A337" s="117">
        <f t="shared" si="16"/>
        <v>15.249999999999995</v>
      </c>
      <c r="B337" s="101" t="s">
        <v>164</v>
      </c>
      <c r="C337" s="93">
        <v>68</v>
      </c>
      <c r="D337" s="93" t="s">
        <v>74</v>
      </c>
      <c r="E337" s="94"/>
      <c r="F337" s="94"/>
      <c r="G337" s="8"/>
    </row>
    <row r="338" spans="1:7" s="9" customFormat="1" ht="23.25" x14ac:dyDescent="0.3">
      <c r="A338" s="117">
        <f t="shared" si="16"/>
        <v>15.259999999999994</v>
      </c>
      <c r="B338" s="101" t="s">
        <v>165</v>
      </c>
      <c r="C338" s="93">
        <v>68</v>
      </c>
      <c r="D338" s="93" t="s">
        <v>74</v>
      </c>
      <c r="E338" s="94"/>
      <c r="F338" s="94"/>
      <c r="G338" s="8"/>
    </row>
    <row r="339" spans="1:7" s="9" customFormat="1" ht="23.25" x14ac:dyDescent="0.35">
      <c r="A339" s="117">
        <f t="shared" si="16"/>
        <v>15.269999999999994</v>
      </c>
      <c r="B339" s="85" t="s">
        <v>136</v>
      </c>
      <c r="C339" s="108">
        <v>3</v>
      </c>
      <c r="D339" s="82" t="s">
        <v>74</v>
      </c>
      <c r="E339" s="27"/>
      <c r="F339" s="27"/>
      <c r="G339" s="8"/>
    </row>
    <row r="340" spans="1:7" s="9" customFormat="1" ht="23.25" x14ac:dyDescent="0.35">
      <c r="A340" s="117">
        <f t="shared" si="16"/>
        <v>15.279999999999994</v>
      </c>
      <c r="B340" s="97" t="s">
        <v>137</v>
      </c>
      <c r="C340" s="110">
        <v>0.3</v>
      </c>
      <c r="D340" s="98" t="s">
        <v>138</v>
      </c>
      <c r="E340" s="27"/>
      <c r="F340" s="27"/>
      <c r="G340" s="8"/>
    </row>
    <row r="341" spans="1:7" s="9" customFormat="1" ht="23.25" x14ac:dyDescent="0.35">
      <c r="A341" s="72"/>
      <c r="B341" s="102"/>
      <c r="C341" s="103"/>
      <c r="D341" s="103"/>
      <c r="E341" s="27"/>
      <c r="F341" s="27"/>
      <c r="G341" s="8"/>
    </row>
    <row r="342" spans="1:7" s="9" customFormat="1" ht="24" thickBot="1" x14ac:dyDescent="0.4">
      <c r="A342" s="72"/>
      <c r="B342" s="73"/>
      <c r="C342" s="74"/>
      <c r="D342" s="74"/>
      <c r="E342" s="74"/>
      <c r="F342" s="29"/>
      <c r="G342" s="27"/>
    </row>
    <row r="343" spans="1:7" s="9" customFormat="1" ht="24" thickBot="1" x14ac:dyDescent="0.4">
      <c r="A343" s="31"/>
      <c r="B343" s="60" t="s">
        <v>10</v>
      </c>
      <c r="C343" s="61"/>
      <c r="D343" s="61"/>
      <c r="E343" s="61"/>
      <c r="F343" s="62"/>
      <c r="G343" s="63"/>
    </row>
    <row r="344" spans="1:7" s="9" customFormat="1" ht="23.25" x14ac:dyDescent="0.35">
      <c r="A344" s="31"/>
      <c r="B344" s="64"/>
      <c r="C344" s="27"/>
      <c r="D344" s="27"/>
      <c r="E344" s="27"/>
      <c r="F344" s="65"/>
      <c r="G344" s="66"/>
    </row>
    <row r="345" spans="1:7" s="9" customFormat="1" ht="23.25" x14ac:dyDescent="0.35">
      <c r="A345" s="31"/>
      <c r="B345" s="64" t="s">
        <v>11</v>
      </c>
      <c r="C345" s="67"/>
      <c r="D345" s="8"/>
      <c r="E345" s="67"/>
      <c r="F345" s="68"/>
      <c r="G345" s="27"/>
    </row>
    <row r="346" spans="1:7" s="9" customFormat="1" ht="23.25" x14ac:dyDescent="0.35">
      <c r="A346" s="31"/>
      <c r="B346" s="29" t="s">
        <v>12</v>
      </c>
      <c r="C346" s="69">
        <v>0.1</v>
      </c>
      <c r="D346" s="27"/>
      <c r="E346" s="28"/>
      <c r="F346" s="70"/>
      <c r="G346" s="27"/>
    </row>
    <row r="347" spans="1:7" s="9" customFormat="1" ht="23.25" x14ac:dyDescent="0.35">
      <c r="A347" s="31"/>
      <c r="B347" s="31" t="s">
        <v>13</v>
      </c>
      <c r="C347" s="69">
        <v>0.03</v>
      </c>
      <c r="D347" s="27"/>
      <c r="E347" s="28"/>
      <c r="F347" s="70"/>
      <c r="G347" s="27"/>
    </row>
    <row r="348" spans="1:7" s="9" customFormat="1" ht="23.25" x14ac:dyDescent="0.35">
      <c r="A348" s="31"/>
      <c r="B348" s="31" t="s">
        <v>14</v>
      </c>
      <c r="C348" s="69">
        <v>0.05</v>
      </c>
      <c r="D348" s="27"/>
      <c r="E348" s="28"/>
      <c r="F348" s="70"/>
      <c r="G348" s="27"/>
    </row>
    <row r="349" spans="1:7" s="9" customFormat="1" ht="23.25" x14ac:dyDescent="0.35">
      <c r="A349" s="31"/>
      <c r="B349" s="31" t="s">
        <v>15</v>
      </c>
      <c r="C349" s="69">
        <v>0.04</v>
      </c>
      <c r="D349" s="27"/>
      <c r="E349" s="28"/>
      <c r="F349" s="70"/>
      <c r="G349" s="27"/>
    </row>
    <row r="350" spans="1:7" s="9" customFormat="1" ht="23.25" x14ac:dyDescent="0.35">
      <c r="A350" s="31"/>
      <c r="B350" s="31" t="s">
        <v>16</v>
      </c>
      <c r="C350" s="69">
        <v>0.04</v>
      </c>
      <c r="D350" s="27"/>
      <c r="E350" s="28"/>
      <c r="F350" s="70"/>
      <c r="G350" s="27"/>
    </row>
    <row r="351" spans="1:7" s="9" customFormat="1" ht="23.25" x14ac:dyDescent="0.35">
      <c r="A351" s="31"/>
      <c r="B351" s="31" t="s">
        <v>17</v>
      </c>
      <c r="C351" s="69">
        <v>0.01</v>
      </c>
      <c r="D351" s="27"/>
      <c r="E351" s="28"/>
      <c r="F351" s="70"/>
      <c r="G351" s="27"/>
    </row>
    <row r="352" spans="1:7" s="9" customFormat="1" ht="23.25" x14ac:dyDescent="0.35">
      <c r="A352" s="31"/>
      <c r="B352" s="31" t="s">
        <v>18</v>
      </c>
      <c r="C352" s="69">
        <v>0.05</v>
      </c>
      <c r="D352" s="27"/>
      <c r="E352" s="28"/>
      <c r="F352" s="70"/>
      <c r="G352" s="27"/>
    </row>
    <row r="353" spans="1:7" s="9" customFormat="1" ht="23.25" x14ac:dyDescent="0.35">
      <c r="A353" s="31"/>
      <c r="B353" s="31" t="s">
        <v>20</v>
      </c>
      <c r="C353" s="69">
        <v>0.18</v>
      </c>
      <c r="D353" s="27"/>
      <c r="E353" s="28"/>
      <c r="F353" s="70"/>
      <c r="G353" s="27"/>
    </row>
    <row r="354" spans="1:7" s="9" customFormat="1" ht="24" thickBot="1" x14ac:dyDescent="0.4">
      <c r="A354" s="31"/>
      <c r="B354" s="31" t="s">
        <v>19</v>
      </c>
      <c r="C354" s="69">
        <v>1E-3</v>
      </c>
      <c r="D354" s="27"/>
      <c r="E354" s="28"/>
      <c r="F354" s="70"/>
      <c r="G354" s="27"/>
    </row>
    <row r="355" spans="1:7" s="9" customFormat="1" ht="24" thickBot="1" x14ac:dyDescent="0.4">
      <c r="A355" s="31"/>
      <c r="B355" s="71"/>
      <c r="C355" s="32"/>
      <c r="D355" s="27"/>
      <c r="E355" s="32"/>
      <c r="F355" s="29"/>
      <c r="G355" s="76"/>
    </row>
    <row r="356" spans="1:7" s="9" customFormat="1" ht="23.25" x14ac:dyDescent="0.35">
      <c r="A356" s="31"/>
      <c r="B356" s="29"/>
      <c r="C356" s="32"/>
      <c r="D356" s="27"/>
      <c r="E356" s="32"/>
      <c r="F356" s="29"/>
      <c r="G356" s="33"/>
    </row>
    <row r="357" spans="1:7" s="9" customFormat="1" ht="23.25" x14ac:dyDescent="0.35">
      <c r="A357" s="31"/>
      <c r="B357" s="53" t="s">
        <v>166</v>
      </c>
      <c r="C357" s="104">
        <v>1</v>
      </c>
      <c r="D357" s="82" t="s">
        <v>167</v>
      </c>
      <c r="E357" s="27"/>
      <c r="F357" s="27"/>
      <c r="G357" s="105"/>
    </row>
    <row r="358" spans="1:7" s="9" customFormat="1" ht="23.25" x14ac:dyDescent="0.35">
      <c r="A358" s="31"/>
      <c r="B358" s="53" t="s">
        <v>168</v>
      </c>
      <c r="C358" s="104">
        <v>1</v>
      </c>
      <c r="D358" s="82" t="s">
        <v>167</v>
      </c>
      <c r="E358" s="27"/>
      <c r="F358" s="27"/>
      <c r="G358" s="105"/>
    </row>
    <row r="359" spans="1:7" s="9" customFormat="1" ht="24" thickBot="1" x14ac:dyDescent="0.4">
      <c r="A359" s="31"/>
      <c r="B359" s="1" t="s">
        <v>170</v>
      </c>
      <c r="C359" s="106">
        <v>5</v>
      </c>
      <c r="D359" s="82" t="s">
        <v>171</v>
      </c>
      <c r="E359" s="27"/>
      <c r="F359" s="27"/>
      <c r="G359" s="105"/>
    </row>
    <row r="360" spans="1:7" s="9" customFormat="1" ht="24" thickBot="1" x14ac:dyDescent="0.4">
      <c r="A360" s="31"/>
      <c r="B360" s="64"/>
      <c r="C360" s="29"/>
      <c r="D360" s="82"/>
      <c r="E360" s="29"/>
      <c r="F360" s="29"/>
      <c r="G360" s="107"/>
    </row>
    <row r="361" spans="1:7" s="9" customFormat="1" ht="24" thickBot="1" x14ac:dyDescent="0.4">
      <c r="A361" s="31"/>
      <c r="B361" s="29"/>
      <c r="C361" s="32"/>
      <c r="D361" s="27"/>
      <c r="E361" s="32"/>
      <c r="F361" s="29"/>
      <c r="G361" s="33"/>
    </row>
    <row r="362" spans="1:7" s="9" customFormat="1" ht="24" thickBot="1" x14ac:dyDescent="0.4">
      <c r="A362" s="34"/>
      <c r="B362" s="35" t="s">
        <v>9</v>
      </c>
      <c r="C362" s="36"/>
      <c r="D362" s="37"/>
      <c r="E362" s="36"/>
      <c r="F362" s="38"/>
      <c r="G362" s="39">
        <f>(G355+G343)+G360</f>
        <v>0</v>
      </c>
    </row>
    <row r="363" spans="1:7" s="10" customFormat="1" ht="15.75" customHeight="1" x14ac:dyDescent="0.35">
      <c r="A363" s="31"/>
      <c r="B363" s="29"/>
      <c r="C363" s="32"/>
      <c r="D363" s="27"/>
      <c r="E363" s="32"/>
      <c r="F363" s="29"/>
      <c r="G363" s="33"/>
    </row>
    <row r="364" spans="1:7" s="10" customFormat="1" ht="15.75" customHeight="1" x14ac:dyDescent="0.35">
      <c r="A364" s="34"/>
      <c r="B364" s="1"/>
      <c r="C364" s="40"/>
      <c r="D364" s="41"/>
      <c r="E364" s="40"/>
      <c r="F364" s="1"/>
      <c r="G364" s="28"/>
    </row>
    <row r="365" spans="1:7" s="10" customFormat="1" ht="15.75" customHeight="1" x14ac:dyDescent="0.3">
      <c r="A365" s="34"/>
      <c r="B365" s="43"/>
      <c r="C365" s="44"/>
      <c r="D365" s="43"/>
      <c r="E365" s="45"/>
      <c r="F365" s="45"/>
      <c r="G365" s="42"/>
    </row>
    <row r="366" spans="1:7" s="10" customFormat="1" ht="15.75" customHeight="1" x14ac:dyDescent="0.3">
      <c r="A366" s="34"/>
      <c r="B366" s="43"/>
      <c r="C366" s="44"/>
      <c r="D366" s="43"/>
      <c r="E366" s="45"/>
      <c r="F366" s="45"/>
      <c r="G366" s="42"/>
    </row>
    <row r="367" spans="1:7" s="10" customFormat="1" ht="18.75" customHeight="1" x14ac:dyDescent="0.3">
      <c r="A367" s="34"/>
      <c r="B367" s="46"/>
      <c r="C367" s="44"/>
      <c r="D367" s="43"/>
      <c r="E367" s="45"/>
      <c r="F367" s="45"/>
      <c r="G367" s="42"/>
    </row>
    <row r="368" spans="1:7" s="10" customFormat="1" ht="15.75" customHeight="1" x14ac:dyDescent="0.3">
      <c r="A368" s="34"/>
      <c r="B368" s="47"/>
      <c r="C368" s="48"/>
      <c r="D368" s="49"/>
      <c r="E368" s="45"/>
      <c r="F368" s="44"/>
      <c r="G368" s="42"/>
    </row>
    <row r="369" spans="1:7" s="10" customFormat="1" ht="15.75" customHeight="1" x14ac:dyDescent="0.3">
      <c r="A369" s="34"/>
      <c r="B369" s="45"/>
      <c r="C369" s="48"/>
      <c r="D369" s="44"/>
      <c r="E369" s="48"/>
      <c r="F369" s="50"/>
      <c r="G369" s="42"/>
    </row>
    <row r="370" spans="1:7" s="10" customFormat="1" ht="15.75" customHeight="1" x14ac:dyDescent="0.35">
      <c r="A370" s="26"/>
      <c r="B370" s="46"/>
      <c r="C370" s="48"/>
      <c r="D370" s="50"/>
      <c r="E370" s="48"/>
      <c r="F370" s="50"/>
      <c r="G370" s="27"/>
    </row>
    <row r="371" spans="1:7" s="10" customFormat="1" ht="15.75" customHeight="1" x14ac:dyDescent="0.35">
      <c r="A371" s="26"/>
      <c r="B371" s="46"/>
      <c r="C371" s="48"/>
      <c r="D371" s="50"/>
      <c r="E371" s="45"/>
      <c r="F371" s="45"/>
      <c r="G371" s="27"/>
    </row>
    <row r="372" spans="1:7" s="10" customFormat="1" ht="15.75" customHeight="1" x14ac:dyDescent="0.35">
      <c r="A372" s="26"/>
      <c r="B372" s="46"/>
      <c r="C372" s="48"/>
      <c r="D372" s="50"/>
      <c r="E372" s="45"/>
      <c r="F372" s="45"/>
      <c r="G372" s="27"/>
    </row>
    <row r="373" spans="1:7" s="10" customFormat="1" ht="15.75" customHeight="1" x14ac:dyDescent="0.3">
      <c r="A373" s="16"/>
      <c r="B373" s="46"/>
      <c r="C373" s="48"/>
      <c r="D373" s="50"/>
      <c r="E373" s="45"/>
      <c r="F373" s="45"/>
      <c r="G373" s="13"/>
    </row>
    <row r="374" spans="1:7" s="10" customFormat="1" ht="15.75" customHeight="1" x14ac:dyDescent="0.3">
      <c r="A374" s="16"/>
      <c r="B374" s="46"/>
      <c r="C374" s="51"/>
      <c r="D374" s="52"/>
      <c r="E374" s="52"/>
      <c r="F374" s="11"/>
      <c r="G374" s="13"/>
    </row>
    <row r="375" spans="1:7" s="10" customFormat="1" ht="15.75" customHeight="1" x14ac:dyDescent="0.35">
      <c r="A375" s="16"/>
      <c r="B375" s="47"/>
      <c r="C375" s="30"/>
      <c r="D375" s="53"/>
      <c r="E375" s="53"/>
      <c r="F375" s="54"/>
      <c r="G375" s="13"/>
    </row>
    <row r="376" spans="1:7" s="10" customFormat="1" ht="15.75" customHeight="1" x14ac:dyDescent="0.3">
      <c r="A376" s="16"/>
      <c r="B376" s="13"/>
      <c r="C376" s="12"/>
      <c r="D376" s="13"/>
      <c r="E376" s="13"/>
      <c r="G376" s="13"/>
    </row>
    <row r="377" spans="1:7" s="10" customFormat="1" ht="15.75" customHeight="1" x14ac:dyDescent="0.3">
      <c r="A377" s="16"/>
      <c r="B377" s="13"/>
      <c r="C377" s="12"/>
      <c r="D377" s="13"/>
      <c r="E377" s="13"/>
      <c r="G377" s="13"/>
    </row>
    <row r="378" spans="1:7" s="10" customFormat="1" ht="15.75" customHeight="1" x14ac:dyDescent="0.3">
      <c r="A378" s="16"/>
      <c r="B378" s="14"/>
      <c r="C378" s="15"/>
      <c r="D378" s="13"/>
      <c r="E378" s="13"/>
      <c r="G378" s="13"/>
    </row>
    <row r="379" spans="1:7" s="10" customFormat="1" ht="15.75" customHeight="1" x14ac:dyDescent="0.3">
      <c r="A379" s="16"/>
      <c r="C379" s="12"/>
      <c r="D379" s="13"/>
      <c r="E379" s="13"/>
      <c r="F379" s="11"/>
      <c r="G379" s="13"/>
    </row>
    <row r="380" spans="1:7" s="10" customFormat="1" ht="18.75" x14ac:dyDescent="0.3">
      <c r="A380" s="16"/>
      <c r="B380" s="13"/>
      <c r="C380" s="12"/>
      <c r="D380" s="13"/>
      <c r="E380" s="13"/>
      <c r="F380" s="11"/>
      <c r="G380" s="13"/>
    </row>
    <row r="381" spans="1:7" s="10" customFormat="1" ht="15.75" customHeight="1" x14ac:dyDescent="0.3">
      <c r="A381" s="16"/>
      <c r="C381" s="13"/>
      <c r="D381" s="12"/>
      <c r="E381" s="13"/>
      <c r="F381" s="11"/>
      <c r="G381" s="13"/>
    </row>
    <row r="382" spans="1:7" s="10" customFormat="1" ht="15.75" customHeight="1" x14ac:dyDescent="0.3">
      <c r="A382" s="16"/>
      <c r="C382" s="13"/>
      <c r="D382" s="12"/>
      <c r="E382" s="13"/>
      <c r="F382" s="11"/>
      <c r="G382" s="13"/>
    </row>
    <row r="383" spans="1:7" s="10" customFormat="1" ht="15.75" customHeight="1" x14ac:dyDescent="0.3">
      <c r="A383" s="16"/>
      <c r="C383" s="13"/>
      <c r="D383" s="12"/>
      <c r="E383" s="13"/>
      <c r="F383" s="11"/>
      <c r="G383" s="13"/>
    </row>
    <row r="384" spans="1:7" s="10" customFormat="1" ht="15.75" customHeight="1" x14ac:dyDescent="0.3">
      <c r="A384" s="16"/>
      <c r="C384" s="13"/>
      <c r="D384" s="12"/>
      <c r="E384" s="13"/>
      <c r="F384" s="11"/>
      <c r="G384" s="13"/>
    </row>
    <row r="385" spans="1:7" s="10" customFormat="1" ht="15.75" customHeight="1" x14ac:dyDescent="0.3">
      <c r="A385" s="16"/>
      <c r="C385" s="13"/>
      <c r="D385" s="12"/>
      <c r="E385" s="13"/>
      <c r="F385" s="11"/>
      <c r="G385" s="13"/>
    </row>
    <row r="386" spans="1:7" s="10" customFormat="1" ht="15.75" customHeight="1" x14ac:dyDescent="0.3">
      <c r="A386" s="16"/>
      <c r="C386" s="13"/>
      <c r="D386" s="12"/>
      <c r="E386" s="13"/>
      <c r="F386" s="11"/>
      <c r="G386" s="13"/>
    </row>
    <row r="387" spans="1:7" s="10" customFormat="1" ht="15.75" customHeight="1" x14ac:dyDescent="0.3">
      <c r="A387" s="16"/>
      <c r="C387" s="13"/>
      <c r="D387" s="12"/>
      <c r="E387" s="13"/>
      <c r="F387" s="11"/>
      <c r="G387" s="13"/>
    </row>
    <row r="388" spans="1:7" s="10" customFormat="1" ht="15.75" customHeight="1" x14ac:dyDescent="0.3">
      <c r="A388" s="16"/>
      <c r="C388" s="13"/>
      <c r="D388" s="12"/>
      <c r="E388" s="13"/>
      <c r="F388" s="11"/>
      <c r="G388" s="13"/>
    </row>
    <row r="389" spans="1:7" s="10" customFormat="1" ht="15.75" customHeight="1" x14ac:dyDescent="0.3">
      <c r="A389" s="16"/>
      <c r="C389" s="13"/>
      <c r="D389" s="12"/>
      <c r="E389" s="13"/>
      <c r="F389" s="11"/>
      <c r="G389" s="13"/>
    </row>
    <row r="390" spans="1:7" s="10" customFormat="1" ht="15.75" customHeight="1" x14ac:dyDescent="0.3">
      <c r="A390" s="16"/>
      <c r="C390" s="13"/>
      <c r="D390" s="12"/>
      <c r="E390" s="13"/>
      <c r="F390" s="11"/>
      <c r="G390" s="13"/>
    </row>
    <row r="391" spans="1:7" s="10" customFormat="1" ht="15.75" customHeight="1" x14ac:dyDescent="0.3">
      <c r="A391" s="16"/>
      <c r="C391" s="13"/>
      <c r="D391" s="12"/>
      <c r="E391" s="13"/>
      <c r="F391" s="11"/>
      <c r="G391" s="13"/>
    </row>
    <row r="392" spans="1:7" s="10" customFormat="1" ht="15.75" customHeight="1" x14ac:dyDescent="0.3">
      <c r="A392" s="16"/>
      <c r="C392" s="13"/>
      <c r="D392" s="12"/>
      <c r="E392" s="13"/>
      <c r="F392" s="11"/>
      <c r="G392" s="13"/>
    </row>
    <row r="393" spans="1:7" s="10" customFormat="1" ht="15.75" customHeight="1" x14ac:dyDescent="0.3">
      <c r="A393" s="16"/>
      <c r="C393" s="13"/>
      <c r="D393" s="12"/>
      <c r="E393" s="13"/>
      <c r="F393" s="11"/>
      <c r="G393" s="13"/>
    </row>
    <row r="394" spans="1:7" s="10" customFormat="1" ht="15.75" customHeight="1" x14ac:dyDescent="0.3">
      <c r="A394" s="16"/>
      <c r="C394" s="13"/>
      <c r="D394" s="12"/>
      <c r="E394" s="13"/>
      <c r="F394" s="11"/>
      <c r="G394" s="13"/>
    </row>
    <row r="395" spans="1:7" s="10" customFormat="1" ht="15.75" customHeight="1" x14ac:dyDescent="0.3">
      <c r="A395" s="16"/>
      <c r="C395" s="13"/>
      <c r="D395" s="12"/>
      <c r="E395" s="13"/>
      <c r="F395" s="11"/>
      <c r="G395" s="13"/>
    </row>
    <row r="396" spans="1:7" s="10" customFormat="1" ht="15.75" customHeight="1" x14ac:dyDescent="0.3">
      <c r="A396" s="16"/>
      <c r="C396" s="13"/>
      <c r="D396" s="12"/>
      <c r="E396" s="13"/>
      <c r="F396" s="11"/>
      <c r="G396" s="13"/>
    </row>
    <row r="397" spans="1:7" s="10" customFormat="1" ht="15.75" customHeight="1" x14ac:dyDescent="0.3">
      <c r="A397" s="16"/>
      <c r="C397" s="13"/>
      <c r="D397" s="12"/>
      <c r="E397" s="13"/>
      <c r="F397" s="11"/>
      <c r="G397" s="13"/>
    </row>
    <row r="398" spans="1:7" s="10" customFormat="1" ht="15.75" customHeight="1" x14ac:dyDescent="0.3">
      <c r="A398" s="16"/>
      <c r="C398" s="13"/>
      <c r="D398" s="12"/>
      <c r="E398" s="13"/>
      <c r="F398" s="11"/>
      <c r="G398" s="13"/>
    </row>
    <row r="399" spans="1:7" s="10" customFormat="1" ht="15.75" customHeight="1" x14ac:dyDescent="0.3">
      <c r="A399" s="16"/>
      <c r="C399" s="13"/>
      <c r="D399" s="12"/>
      <c r="E399" s="13"/>
      <c r="F399" s="11"/>
      <c r="G399" s="13"/>
    </row>
    <row r="400" spans="1:7" s="10" customFormat="1" ht="15.75" customHeight="1" x14ac:dyDescent="0.3">
      <c r="A400" s="16"/>
      <c r="C400" s="13"/>
      <c r="D400" s="12"/>
      <c r="E400" s="13"/>
      <c r="F400" s="11"/>
      <c r="G400" s="13"/>
    </row>
    <row r="401" spans="1:7" s="10" customFormat="1" ht="15.75" customHeight="1" x14ac:dyDescent="0.3">
      <c r="A401" s="16"/>
      <c r="C401" s="13"/>
      <c r="D401" s="12"/>
      <c r="E401" s="13"/>
      <c r="F401" s="11"/>
      <c r="G401" s="13"/>
    </row>
    <row r="402" spans="1:7" s="10" customFormat="1" ht="15.75" customHeight="1" x14ac:dyDescent="0.3">
      <c r="A402" s="16"/>
      <c r="C402" s="13"/>
      <c r="D402" s="12"/>
      <c r="E402" s="13"/>
      <c r="F402" s="11"/>
      <c r="G402" s="13"/>
    </row>
    <row r="403" spans="1:7" s="10" customFormat="1" ht="15.75" customHeight="1" x14ac:dyDescent="0.3">
      <c r="A403" s="16"/>
      <c r="C403" s="13"/>
      <c r="D403" s="12"/>
      <c r="E403" s="13"/>
      <c r="F403" s="11"/>
      <c r="G403" s="13"/>
    </row>
    <row r="404" spans="1:7" s="10" customFormat="1" ht="15.75" customHeight="1" x14ac:dyDescent="0.3">
      <c r="A404" s="16"/>
      <c r="C404" s="13"/>
      <c r="D404" s="12"/>
      <c r="E404" s="13"/>
      <c r="F404" s="11"/>
      <c r="G404" s="13"/>
    </row>
    <row r="405" spans="1:7" s="10" customFormat="1" ht="15.75" customHeight="1" x14ac:dyDescent="0.3">
      <c r="A405" s="16"/>
      <c r="C405" s="13"/>
      <c r="D405" s="12"/>
      <c r="E405" s="13"/>
      <c r="F405" s="11"/>
      <c r="G405" s="13"/>
    </row>
    <row r="406" spans="1:7" s="10" customFormat="1" ht="15.75" customHeight="1" x14ac:dyDescent="0.3">
      <c r="A406" s="16"/>
      <c r="C406" s="13"/>
      <c r="D406" s="12"/>
      <c r="E406" s="13"/>
      <c r="F406" s="11"/>
      <c r="G406" s="13"/>
    </row>
    <row r="407" spans="1:7" s="10" customFormat="1" ht="15.75" customHeight="1" x14ac:dyDescent="0.3">
      <c r="A407" s="16"/>
      <c r="C407" s="13"/>
      <c r="D407" s="12"/>
      <c r="E407" s="13"/>
      <c r="F407" s="11"/>
      <c r="G407" s="13"/>
    </row>
    <row r="408" spans="1:7" s="10" customFormat="1" ht="15.75" customHeight="1" x14ac:dyDescent="0.3">
      <c r="A408" s="16"/>
      <c r="C408" s="13"/>
      <c r="D408" s="12"/>
      <c r="E408" s="13"/>
      <c r="F408" s="11"/>
      <c r="G408" s="13"/>
    </row>
    <row r="409" spans="1:7" s="10" customFormat="1" ht="15.75" customHeight="1" x14ac:dyDescent="0.3">
      <c r="A409" s="16"/>
      <c r="C409" s="13"/>
      <c r="D409" s="12"/>
      <c r="E409" s="13"/>
      <c r="F409" s="11"/>
      <c r="G409" s="13"/>
    </row>
    <row r="410" spans="1:7" s="10" customFormat="1" ht="15.75" customHeight="1" x14ac:dyDescent="0.3">
      <c r="A410" s="16"/>
      <c r="C410" s="13"/>
      <c r="D410" s="12"/>
      <c r="E410" s="13"/>
      <c r="F410" s="11"/>
      <c r="G410" s="13"/>
    </row>
    <row r="411" spans="1:7" s="10" customFormat="1" ht="15.75" customHeight="1" x14ac:dyDescent="0.3">
      <c r="A411" s="16"/>
      <c r="C411" s="13"/>
      <c r="D411" s="12"/>
      <c r="E411" s="13"/>
      <c r="F411" s="11"/>
      <c r="G411" s="13"/>
    </row>
    <row r="412" spans="1:7" s="10" customFormat="1" ht="15.75" customHeight="1" x14ac:dyDescent="0.3">
      <c r="A412" s="16"/>
      <c r="C412" s="13"/>
      <c r="D412" s="12"/>
      <c r="E412" s="13"/>
      <c r="F412" s="11"/>
      <c r="G412" s="13"/>
    </row>
    <row r="413" spans="1:7" s="10" customFormat="1" ht="15.75" customHeight="1" x14ac:dyDescent="0.3">
      <c r="A413" s="16"/>
      <c r="C413" s="13"/>
      <c r="D413" s="12"/>
      <c r="E413" s="13"/>
      <c r="F413" s="11"/>
      <c r="G413" s="13"/>
    </row>
    <row r="414" spans="1:7" s="10" customFormat="1" ht="15.75" customHeight="1" x14ac:dyDescent="0.3">
      <c r="A414" s="16"/>
      <c r="C414" s="13"/>
      <c r="D414" s="12"/>
      <c r="E414" s="13"/>
      <c r="F414" s="11"/>
      <c r="G414" s="13"/>
    </row>
    <row r="415" spans="1:7" s="10" customFormat="1" ht="15.75" customHeight="1" x14ac:dyDescent="0.3">
      <c r="A415" s="16"/>
      <c r="C415" s="13"/>
      <c r="D415" s="12"/>
      <c r="E415" s="13"/>
      <c r="F415" s="11"/>
      <c r="G415" s="13"/>
    </row>
    <row r="416" spans="1:7" s="10" customFormat="1" ht="15.75" customHeight="1" x14ac:dyDescent="0.3">
      <c r="A416" s="16"/>
      <c r="C416" s="13"/>
      <c r="D416" s="12"/>
      <c r="E416" s="13"/>
      <c r="F416" s="11"/>
      <c r="G416" s="13"/>
    </row>
    <row r="417" spans="1:7" s="10" customFormat="1" ht="15.75" customHeight="1" x14ac:dyDescent="0.3">
      <c r="A417" s="16"/>
      <c r="C417" s="13"/>
      <c r="D417" s="12"/>
      <c r="E417" s="13"/>
      <c r="F417" s="11"/>
      <c r="G417" s="13"/>
    </row>
    <row r="418" spans="1:7" s="10" customFormat="1" ht="15.75" customHeight="1" x14ac:dyDescent="0.3">
      <c r="A418" s="16"/>
      <c r="C418" s="13"/>
      <c r="D418" s="12"/>
      <c r="E418" s="13"/>
      <c r="F418" s="11"/>
      <c r="G418" s="13"/>
    </row>
    <row r="419" spans="1:7" s="10" customFormat="1" ht="15.75" customHeight="1" x14ac:dyDescent="0.3">
      <c r="A419" s="16"/>
      <c r="C419" s="13"/>
      <c r="D419" s="12"/>
      <c r="E419" s="13"/>
      <c r="F419" s="11"/>
      <c r="G419" s="13"/>
    </row>
    <row r="420" spans="1:7" s="10" customFormat="1" ht="15.75" customHeight="1" x14ac:dyDescent="0.3">
      <c r="A420" s="16"/>
      <c r="C420" s="13"/>
      <c r="D420" s="12"/>
      <c r="E420" s="13"/>
      <c r="F420" s="11"/>
      <c r="G420" s="13"/>
    </row>
    <row r="421" spans="1:7" s="10" customFormat="1" ht="15.75" customHeight="1" x14ac:dyDescent="0.3">
      <c r="A421" s="16"/>
      <c r="C421" s="13"/>
      <c r="D421" s="12"/>
      <c r="E421" s="13"/>
      <c r="F421" s="11"/>
      <c r="G421" s="13"/>
    </row>
    <row r="422" spans="1:7" s="10" customFormat="1" ht="15.75" customHeight="1" x14ac:dyDescent="0.3">
      <c r="A422" s="16"/>
      <c r="C422" s="13"/>
      <c r="D422" s="12"/>
      <c r="E422" s="13"/>
      <c r="F422" s="11"/>
      <c r="G422" s="13"/>
    </row>
    <row r="423" spans="1:7" s="10" customFormat="1" ht="15.75" customHeight="1" x14ac:dyDescent="0.3">
      <c r="A423" s="16"/>
      <c r="C423" s="13"/>
      <c r="D423" s="12"/>
      <c r="E423" s="13"/>
      <c r="F423" s="11"/>
      <c r="G423" s="13"/>
    </row>
    <row r="424" spans="1:7" s="10" customFormat="1" ht="15.75" customHeight="1" x14ac:dyDescent="0.3">
      <c r="A424" s="16"/>
      <c r="C424" s="13"/>
      <c r="D424" s="12"/>
      <c r="E424" s="13"/>
      <c r="F424" s="11"/>
      <c r="G424" s="13"/>
    </row>
    <row r="425" spans="1:7" s="10" customFormat="1" ht="15.75" customHeight="1" x14ac:dyDescent="0.3">
      <c r="A425" s="16"/>
      <c r="C425" s="13"/>
      <c r="D425" s="12"/>
      <c r="E425" s="13"/>
      <c r="F425" s="11"/>
      <c r="G425" s="13"/>
    </row>
    <row r="426" spans="1:7" s="10" customFormat="1" ht="15.75" customHeight="1" x14ac:dyDescent="0.3">
      <c r="A426" s="16"/>
      <c r="C426" s="13"/>
      <c r="D426" s="12"/>
      <c r="E426" s="13"/>
      <c r="F426" s="11"/>
      <c r="G426" s="13"/>
    </row>
    <row r="427" spans="1:7" s="10" customFormat="1" ht="15.75" customHeight="1" x14ac:dyDescent="0.3">
      <c r="A427" s="16"/>
      <c r="C427" s="13"/>
      <c r="D427" s="12"/>
      <c r="E427" s="13"/>
      <c r="F427" s="11"/>
      <c r="G427" s="13"/>
    </row>
    <row r="428" spans="1:7" s="10" customFormat="1" ht="15.75" customHeight="1" x14ac:dyDescent="0.3">
      <c r="A428" s="16"/>
      <c r="C428" s="13"/>
      <c r="D428" s="12"/>
      <c r="E428" s="13"/>
      <c r="F428" s="11"/>
      <c r="G428" s="13"/>
    </row>
    <row r="429" spans="1:7" s="10" customFormat="1" ht="15.75" customHeight="1" x14ac:dyDescent="0.3">
      <c r="A429" s="16"/>
      <c r="C429" s="13"/>
      <c r="D429" s="12"/>
      <c r="E429" s="13"/>
      <c r="F429" s="11"/>
      <c r="G429" s="13"/>
    </row>
    <row r="430" spans="1:7" s="10" customFormat="1" ht="15.75" customHeight="1" x14ac:dyDescent="0.3">
      <c r="A430" s="16"/>
      <c r="C430" s="13"/>
      <c r="D430" s="12"/>
      <c r="E430" s="13"/>
      <c r="F430" s="11"/>
      <c r="G430" s="13"/>
    </row>
    <row r="431" spans="1:7" s="10" customFormat="1" ht="15.75" customHeight="1" x14ac:dyDescent="0.3">
      <c r="A431" s="16"/>
      <c r="C431" s="13"/>
      <c r="D431" s="12"/>
      <c r="E431" s="13"/>
      <c r="F431" s="11"/>
      <c r="G431" s="13"/>
    </row>
    <row r="432" spans="1:7" s="10" customFormat="1" ht="15.75" customHeight="1" x14ac:dyDescent="0.3">
      <c r="A432" s="16"/>
      <c r="C432" s="13"/>
      <c r="D432" s="12"/>
      <c r="E432" s="13"/>
      <c r="F432" s="11"/>
      <c r="G432" s="13"/>
    </row>
    <row r="433" spans="1:7" s="10" customFormat="1" ht="15.75" customHeight="1" x14ac:dyDescent="0.3">
      <c r="A433" s="16"/>
      <c r="C433" s="13"/>
      <c r="D433" s="12"/>
      <c r="E433" s="13"/>
      <c r="F433" s="11"/>
      <c r="G433" s="13"/>
    </row>
    <row r="434" spans="1:7" s="10" customFormat="1" ht="15.75" customHeight="1" x14ac:dyDescent="0.3">
      <c r="A434" s="16"/>
      <c r="C434" s="13"/>
      <c r="D434" s="12"/>
      <c r="E434" s="13"/>
      <c r="F434" s="11"/>
      <c r="G434" s="13"/>
    </row>
    <row r="435" spans="1:7" s="10" customFormat="1" ht="15.75" customHeight="1" x14ac:dyDescent="0.3">
      <c r="A435" s="16"/>
      <c r="C435" s="13"/>
      <c r="D435" s="12"/>
      <c r="E435" s="13"/>
      <c r="F435" s="11"/>
      <c r="G435" s="13"/>
    </row>
    <row r="436" spans="1:7" s="10" customFormat="1" ht="15.75" customHeight="1" x14ac:dyDescent="0.3">
      <c r="A436" s="16"/>
      <c r="C436" s="13"/>
      <c r="D436" s="12"/>
      <c r="E436" s="13"/>
      <c r="F436" s="11"/>
      <c r="G436" s="13"/>
    </row>
    <row r="437" spans="1:7" s="10" customFormat="1" ht="15.75" customHeight="1" x14ac:dyDescent="0.3">
      <c r="A437" s="16"/>
      <c r="C437" s="13"/>
      <c r="D437" s="12"/>
      <c r="E437" s="13"/>
      <c r="F437" s="11"/>
      <c r="G437" s="13"/>
    </row>
    <row r="438" spans="1:7" s="10" customFormat="1" ht="15.75" customHeight="1" x14ac:dyDescent="0.3">
      <c r="A438" s="16"/>
      <c r="C438" s="13"/>
      <c r="D438" s="12"/>
      <c r="E438" s="13"/>
      <c r="F438" s="11"/>
      <c r="G438" s="13"/>
    </row>
    <row r="439" spans="1:7" s="10" customFormat="1" ht="15.75" customHeight="1" x14ac:dyDescent="0.3">
      <c r="A439" s="16"/>
      <c r="C439" s="13"/>
      <c r="D439" s="12"/>
      <c r="E439" s="13"/>
      <c r="F439" s="11"/>
      <c r="G439" s="13"/>
    </row>
    <row r="440" spans="1:7" s="10" customFormat="1" ht="15.75" customHeight="1" x14ac:dyDescent="0.3">
      <c r="A440" s="16"/>
      <c r="C440" s="13"/>
      <c r="D440" s="12"/>
      <c r="E440" s="13"/>
      <c r="F440" s="11"/>
      <c r="G440" s="13"/>
    </row>
    <row r="441" spans="1:7" s="10" customFormat="1" ht="15.75" customHeight="1" x14ac:dyDescent="0.3">
      <c r="A441" s="16"/>
      <c r="C441" s="13"/>
      <c r="D441" s="12"/>
      <c r="E441" s="13"/>
      <c r="F441" s="11"/>
      <c r="G441" s="13"/>
    </row>
    <row r="442" spans="1:7" s="10" customFormat="1" ht="15.75" customHeight="1" x14ac:dyDescent="0.3">
      <c r="A442" s="16"/>
      <c r="C442" s="13"/>
      <c r="D442" s="12"/>
      <c r="E442" s="13"/>
      <c r="F442" s="11"/>
      <c r="G442" s="13"/>
    </row>
    <row r="443" spans="1:7" s="10" customFormat="1" ht="15.75" customHeight="1" x14ac:dyDescent="0.3">
      <c r="A443" s="16"/>
      <c r="C443" s="13"/>
      <c r="D443" s="12"/>
      <c r="E443" s="13"/>
      <c r="F443" s="11"/>
      <c r="G443" s="13"/>
    </row>
    <row r="444" spans="1:7" s="10" customFormat="1" ht="15.75" customHeight="1" x14ac:dyDescent="0.3">
      <c r="A444" s="16"/>
      <c r="C444" s="13"/>
      <c r="D444" s="12"/>
      <c r="E444" s="13"/>
      <c r="F444" s="11"/>
      <c r="G444" s="13"/>
    </row>
    <row r="445" spans="1:7" s="10" customFormat="1" ht="15.75" customHeight="1" x14ac:dyDescent="0.3">
      <c r="A445" s="16"/>
      <c r="C445" s="13"/>
      <c r="D445" s="12"/>
      <c r="E445" s="13"/>
      <c r="F445" s="11"/>
      <c r="G445" s="13"/>
    </row>
    <row r="446" spans="1:7" s="10" customFormat="1" ht="15.75" customHeight="1" x14ac:dyDescent="0.3">
      <c r="A446" s="16"/>
      <c r="C446" s="13"/>
      <c r="D446" s="12"/>
      <c r="E446" s="13"/>
      <c r="F446" s="11"/>
      <c r="G446" s="13"/>
    </row>
    <row r="447" spans="1:7" s="10" customFormat="1" ht="15.75" customHeight="1" x14ac:dyDescent="0.3">
      <c r="A447" s="16"/>
      <c r="C447" s="13"/>
      <c r="D447" s="12"/>
      <c r="E447" s="13"/>
      <c r="F447" s="11"/>
      <c r="G447" s="13"/>
    </row>
    <row r="448" spans="1:7" s="10" customFormat="1" ht="15.75" customHeight="1" x14ac:dyDescent="0.3">
      <c r="A448" s="16"/>
      <c r="C448" s="13"/>
      <c r="D448" s="12"/>
      <c r="E448" s="13"/>
      <c r="F448" s="11"/>
      <c r="G448" s="13"/>
    </row>
    <row r="449" spans="1:8" s="10" customFormat="1" ht="15.75" customHeight="1" x14ac:dyDescent="0.3">
      <c r="A449" s="16"/>
      <c r="C449" s="13"/>
      <c r="D449" s="12"/>
      <c r="E449" s="13"/>
      <c r="F449" s="11"/>
      <c r="G449" s="13"/>
    </row>
    <row r="450" spans="1:8" s="10" customFormat="1" ht="15.75" customHeight="1" x14ac:dyDescent="0.3">
      <c r="A450" s="16"/>
      <c r="C450" s="13"/>
      <c r="D450" s="12"/>
      <c r="E450" s="13"/>
      <c r="F450" s="11"/>
      <c r="G450" s="13"/>
      <c r="H450" s="17"/>
    </row>
    <row r="451" spans="1:8" s="10" customFormat="1" ht="15.75" customHeight="1" x14ac:dyDescent="0.3">
      <c r="A451" s="16"/>
      <c r="C451" s="13"/>
      <c r="D451" s="12"/>
      <c r="E451" s="13"/>
      <c r="F451" s="11"/>
      <c r="G451" s="13"/>
      <c r="H451" s="17"/>
    </row>
    <row r="452" spans="1:8" s="10" customFormat="1" ht="15.75" customHeight="1" x14ac:dyDescent="0.3">
      <c r="A452" s="16"/>
      <c r="C452" s="13"/>
      <c r="D452" s="12"/>
      <c r="E452" s="13"/>
      <c r="F452" s="11"/>
      <c r="G452" s="13"/>
      <c r="H452" s="17"/>
    </row>
    <row r="453" spans="1:8" s="10" customFormat="1" ht="15.75" customHeight="1" x14ac:dyDescent="0.3">
      <c r="A453" s="16"/>
      <c r="C453" s="13"/>
      <c r="D453" s="12"/>
      <c r="E453" s="13"/>
      <c r="F453" s="11"/>
      <c r="G453" s="13"/>
      <c r="H453" s="17"/>
    </row>
    <row r="454" spans="1:8" s="10" customFormat="1" ht="15.75" customHeight="1" x14ac:dyDescent="0.3">
      <c r="A454" s="16"/>
      <c r="C454" s="13"/>
      <c r="D454" s="12"/>
      <c r="E454" s="13"/>
      <c r="F454" s="11"/>
      <c r="G454" s="13"/>
      <c r="H454" s="17"/>
    </row>
    <row r="455" spans="1:8" s="10" customFormat="1" ht="15.75" customHeight="1" x14ac:dyDescent="0.3">
      <c r="A455" s="16"/>
      <c r="C455" s="13"/>
      <c r="D455" s="12"/>
      <c r="E455" s="13"/>
      <c r="F455" s="11"/>
      <c r="G455" s="13"/>
      <c r="H455" s="17"/>
    </row>
    <row r="456" spans="1:8" s="10" customFormat="1" ht="15.75" customHeight="1" x14ac:dyDescent="0.3">
      <c r="A456" s="16"/>
      <c r="C456" s="13"/>
      <c r="D456" s="12"/>
      <c r="E456" s="13"/>
      <c r="F456" s="11"/>
      <c r="G456" s="13"/>
      <c r="H456" s="17"/>
    </row>
    <row r="457" spans="1:8" s="10" customFormat="1" ht="15.75" customHeight="1" x14ac:dyDescent="0.3">
      <c r="A457" s="16"/>
      <c r="C457" s="13"/>
      <c r="D457" s="12"/>
      <c r="E457" s="13"/>
      <c r="F457" s="11"/>
      <c r="G457" s="13"/>
      <c r="H457" s="17"/>
    </row>
    <row r="458" spans="1:8" s="10" customFormat="1" ht="15.75" customHeight="1" x14ac:dyDescent="0.3">
      <c r="A458" s="16"/>
      <c r="C458" s="13"/>
      <c r="D458" s="12"/>
      <c r="E458" s="13"/>
      <c r="F458" s="11"/>
      <c r="G458" s="13"/>
      <c r="H458" s="17"/>
    </row>
    <row r="459" spans="1:8" s="10" customFormat="1" ht="15.75" customHeight="1" x14ac:dyDescent="0.3">
      <c r="A459" s="16"/>
      <c r="C459" s="13"/>
      <c r="D459" s="12"/>
      <c r="E459" s="13"/>
      <c r="F459" s="11"/>
      <c r="G459" s="13"/>
      <c r="H459" s="17"/>
    </row>
    <row r="460" spans="1:8" s="10" customFormat="1" ht="15.75" customHeight="1" x14ac:dyDescent="0.3">
      <c r="A460" s="16"/>
      <c r="C460" s="13"/>
      <c r="D460" s="12"/>
      <c r="E460" s="13"/>
      <c r="F460" s="11"/>
      <c r="G460" s="13"/>
      <c r="H460" s="17"/>
    </row>
    <row r="461" spans="1:8" s="10" customFormat="1" ht="15.75" customHeight="1" x14ac:dyDescent="0.3">
      <c r="A461" s="16"/>
      <c r="C461" s="13"/>
      <c r="D461" s="12"/>
      <c r="E461" s="13"/>
      <c r="F461" s="11"/>
      <c r="G461" s="13"/>
      <c r="H461" s="17"/>
    </row>
    <row r="462" spans="1:8" s="10" customFormat="1" ht="15.75" customHeight="1" x14ac:dyDescent="0.3">
      <c r="A462" s="16"/>
      <c r="C462" s="13"/>
      <c r="D462" s="12"/>
      <c r="E462" s="13"/>
      <c r="F462" s="11"/>
      <c r="G462" s="13"/>
      <c r="H462" s="17"/>
    </row>
    <row r="463" spans="1:8" s="10" customFormat="1" ht="15.75" customHeight="1" x14ac:dyDescent="0.3">
      <c r="A463" s="16"/>
      <c r="C463" s="13"/>
      <c r="D463" s="12"/>
      <c r="E463" s="13"/>
      <c r="F463" s="11"/>
      <c r="G463" s="13"/>
      <c r="H463" s="17"/>
    </row>
    <row r="464" spans="1:8" s="10" customFormat="1" ht="15.75" customHeight="1" x14ac:dyDescent="0.3">
      <c r="A464" s="16"/>
      <c r="C464" s="13"/>
      <c r="D464" s="12"/>
      <c r="E464" s="13"/>
      <c r="F464" s="11"/>
      <c r="G464" s="13"/>
      <c r="H464" s="17"/>
    </row>
    <row r="465" spans="1:8" s="10" customFormat="1" ht="15.75" customHeight="1" x14ac:dyDescent="0.3">
      <c r="A465" s="16"/>
      <c r="C465" s="13"/>
      <c r="D465" s="12"/>
      <c r="E465" s="13"/>
      <c r="F465" s="11"/>
      <c r="G465" s="13"/>
      <c r="H465" s="17"/>
    </row>
    <row r="466" spans="1:8" s="10" customFormat="1" ht="15.75" customHeight="1" x14ac:dyDescent="0.3">
      <c r="A466" s="16"/>
      <c r="C466" s="13"/>
      <c r="D466" s="12"/>
      <c r="E466" s="13"/>
      <c r="F466" s="11"/>
      <c r="G466" s="13"/>
      <c r="H466" s="17"/>
    </row>
  </sheetData>
  <mergeCells count="3">
    <mergeCell ref="A7:G7"/>
    <mergeCell ref="A9:G9"/>
    <mergeCell ref="A12:G12"/>
  </mergeCells>
  <printOptions horizontalCentered="1" gridLinesSet="0"/>
  <pageMargins left="0.11811023622047245" right="0.11811023622047245" top="0.15748031496062992" bottom="0.15748031496062992" header="0" footer="0"/>
  <pageSetup scale="55" fitToHeight="4" orientation="portrait" r:id="rId1"/>
  <headerFooter alignWithMargins="0"/>
  <rowBreaks count="1" manualBreakCount="1">
    <brk id="3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original </vt:lpstr>
      <vt:lpstr>'Presupuesto original '!Área_de_impresión</vt:lpstr>
      <vt:lpstr>'Presupuesto original '!Títulos_a_imprimir</vt:lpstr>
    </vt:vector>
  </TitlesOfParts>
  <Company>Windows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Aldaño</dc:creator>
  <cp:lastModifiedBy>Jorge Luis Lauriano Aldaño</cp:lastModifiedBy>
  <cp:lastPrinted>2026-08-12T13:21:15Z</cp:lastPrinted>
  <dcterms:created xsi:type="dcterms:W3CDTF">2018-05-24T20:18:09Z</dcterms:created>
  <dcterms:modified xsi:type="dcterms:W3CDTF">2026-09-17T00:41:39Z</dcterms:modified>
</cp:coreProperties>
</file>