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dq-filesrv\ComprasOtros\A PARTIR DEL 17 DE AGOSTO 2020\PROCESOS DE COMPRAS DOCUMENTOS EDITABLES\COMPRAS MENORES\2026\DGAP-DAF-CM-2026-0183 Remodelación de la fachada para la Administración de Puerto Plata\"/>
    </mc:Choice>
  </mc:AlternateContent>
  <xr:revisionPtr revIDLastSave="0" documentId="13_ncr:1_{DB92D057-5331-46AE-93CA-C4B7B0E14552}" xr6:coauthVersionLast="47" xr6:coauthVersionMax="47" xr10:uidLastSave="{00000000-0000-0000-0000-000000000000}"/>
  <bookViews>
    <workbookView xWindow="-120" yWindow="-120" windowWidth="29040" windowHeight="15720" xr2:uid="{06EA22FE-D1F5-4196-87A7-C9EACF77DB05}"/>
  </bookViews>
  <sheets>
    <sheet name="Presupuesto" sheetId="4" r:id="rId1"/>
    <sheet name="Hoja1" sheetId="5" state="hidden" r:id="rId2"/>
  </sheets>
  <definedNames>
    <definedName name="_xlnm.Print_Area" localSheetId="0">Presupuesto!$A$1:$G$80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2" i="4" l="1"/>
  <c r="F48" i="4"/>
  <c r="F41" i="4"/>
  <c r="K47" i="4"/>
  <c r="I14" i="4"/>
  <c r="F7" i="4"/>
  <c r="F53" i="4"/>
  <c r="C56" i="4"/>
  <c r="A56" i="4"/>
  <c r="A57" i="4" s="1"/>
  <c r="F57" i="4" l="1"/>
  <c r="F56" i="4"/>
  <c r="G55" i="4" l="1"/>
  <c r="C52" i="4" l="1"/>
  <c r="A52" i="4"/>
  <c r="A53" i="4" s="1"/>
  <c r="C44" i="4"/>
  <c r="C42" i="4"/>
  <c r="C40" i="4"/>
  <c r="C43" i="4"/>
  <c r="C32" i="4"/>
  <c r="C30" i="4"/>
  <c r="G51" i="4" l="1"/>
  <c r="C41" i="4" l="1"/>
  <c r="I39" i="4" s="1"/>
  <c r="C24" i="4"/>
  <c r="C23" i="4"/>
  <c r="C39" i="4"/>
  <c r="C47" i="4"/>
  <c r="C49" i="4" l="1"/>
  <c r="C48" i="4"/>
  <c r="A47" i="4"/>
  <c r="A48" i="4" s="1"/>
  <c r="A49" i="4" s="1"/>
  <c r="F40" i="4" l="1"/>
  <c r="F24" i="4"/>
  <c r="F47" i="4" l="1"/>
  <c r="F49" i="4" l="1"/>
  <c r="C31" i="4"/>
  <c r="C29" i="4"/>
  <c r="C28" i="4"/>
  <c r="C27" i="4"/>
  <c r="G46" i="4" l="1"/>
  <c r="F31" i="4" l="1"/>
  <c r="F28" i="4" l="1"/>
  <c r="F32" i="4"/>
  <c r="F29" i="4"/>
  <c r="F30" i="4" l="1"/>
  <c r="C12" i="4" l="1"/>
  <c r="C13" i="4"/>
  <c r="C11" i="4"/>
  <c r="F8" i="4"/>
  <c r="F18" i="4"/>
  <c r="F19" i="4"/>
  <c r="F20" i="4"/>
  <c r="C15" i="4"/>
  <c r="C10" i="4"/>
  <c r="C14" i="4"/>
  <c r="F15" i="4" l="1"/>
  <c r="F14" i="4"/>
  <c r="F13" i="4"/>
  <c r="F12" i="4"/>
  <c r="F10" i="4"/>
  <c r="F11" i="4"/>
  <c r="C9" i="4" l="1"/>
  <c r="A6" i="4" l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35" i="4"/>
  <c r="A36" i="4" s="1"/>
  <c r="A62" i="4"/>
  <c r="A63" i="4" s="1"/>
  <c r="A64" i="4" s="1"/>
  <c r="A65" i="4" s="1"/>
  <c r="A66" i="4" s="1"/>
  <c r="A67" i="4" s="1"/>
  <c r="A27" i="4"/>
  <c r="A28" i="4" s="1"/>
  <c r="A29" i="4" s="1"/>
  <c r="A30" i="4" s="1"/>
  <c r="A31" i="4" s="1"/>
  <c r="A32" i="4" s="1"/>
  <c r="A39" i="4"/>
  <c r="A40" i="4" s="1"/>
  <c r="A41" i="4" s="1"/>
  <c r="A42" i="4" s="1"/>
  <c r="A43" i="4" s="1"/>
  <c r="A44" i="4" s="1"/>
  <c r="E8" i="5"/>
  <c r="F8" i="5" s="1"/>
  <c r="G7" i="5" s="1"/>
  <c r="A8" i="5"/>
  <c r="A5" i="5"/>
  <c r="A23" i="4"/>
  <c r="A24" i="4" s="1"/>
  <c r="E5" i="5"/>
  <c r="F5" i="5" s="1"/>
  <c r="G4" i="5" s="1"/>
  <c r="F6" i="4" l="1"/>
  <c r="F9" i="4" l="1"/>
  <c r="F35" i="4"/>
  <c r="F36" i="4"/>
  <c r="F27" i="4"/>
  <c r="G26" i="4" s="1"/>
  <c r="F17" i="4" l="1"/>
  <c r="F16" i="4"/>
  <c r="F42" i="4"/>
  <c r="F43" i="4"/>
  <c r="F39" i="4"/>
  <c r="F44" i="4"/>
  <c r="G34" i="4"/>
  <c r="F23" i="4"/>
  <c r="G22" i="4" s="1"/>
  <c r="G38" i="4" l="1"/>
  <c r="G5" i="4"/>
  <c r="G59" i="4" l="1"/>
  <c r="G64" i="4" s="1"/>
  <c r="G65" i="4" l="1"/>
  <c r="G62" i="4"/>
  <c r="G70" i="4" s="1"/>
  <c r="G63" i="4"/>
  <c r="G66" i="4"/>
  <c r="G67" i="4"/>
  <c r="G61" i="4" l="1"/>
  <c r="G69" i="4" s="1"/>
  <c r="G71" i="4" s="1"/>
</calcChain>
</file>

<file path=xl/sharedStrings.xml><?xml version="1.0" encoding="utf-8"?>
<sst xmlns="http://schemas.openxmlformats.org/spreadsheetml/2006/main" count="128" uniqueCount="78">
  <si>
    <t>M2</t>
  </si>
  <si>
    <t>UND</t>
  </si>
  <si>
    <t>No.</t>
  </si>
  <si>
    <t>PRESUPUESTO ESTIMADO DE COSTOS</t>
  </si>
  <si>
    <t>Descripción</t>
  </si>
  <si>
    <t>Cantidad</t>
  </si>
  <si>
    <t>Unidad</t>
  </si>
  <si>
    <t>Precio Unitario (RD$)</t>
  </si>
  <si>
    <t>Precio Unitario Final (RD$)</t>
  </si>
  <si>
    <t>Total (RD$)</t>
  </si>
  <si>
    <t xml:space="preserve"> </t>
  </si>
  <si>
    <t>TOTAL GASTOS DIRECTOS</t>
  </si>
  <si>
    <t>TOTAL GENERAL PRESUPUESTADO</t>
  </si>
  <si>
    <t>Instalación de Puntos de redes</t>
  </si>
  <si>
    <t xml:space="preserve">Replanteo General </t>
  </si>
  <si>
    <t>Readecuación de el departamento de Auditoria, SEDE central DGA</t>
  </si>
  <si>
    <t>Suministro e instalación de salidas de Data, con cable UTP categoria 6A, color violeta (Etiqueta en ambos extremos, tuberías, curvas, conector, coupling en EMT de 1". Incluye: Jacks Siemon Z Max categoía 6A blanco, 2 Patch Panel categoria 6A siemon triangular de 48 puerto, 2 Switch Cisco Catalyst 300L de 48 puertos POE con smart NET, 2 Organizadores de 2u Siemon y materiales de terminación).</t>
  </si>
  <si>
    <t>Suministro e instalación de salidas de Data, con cable categoria 6A certificación UL, color violeta (Etiqueta en ambos extremos, terminación en mini Jack categoria 6 y materiales de terminación).</t>
  </si>
  <si>
    <t>P.A.</t>
  </si>
  <si>
    <t>PRELIMINARES</t>
  </si>
  <si>
    <t>PINTURA</t>
  </si>
  <si>
    <t>Limpieza constante del área (día a día)</t>
  </si>
  <si>
    <t>CONSTRUCCION LIGERA</t>
  </si>
  <si>
    <t>Bote de escombros</t>
  </si>
  <si>
    <t>M3</t>
  </si>
  <si>
    <t>ML</t>
  </si>
  <si>
    <r>
      <t xml:space="preserve">Preparado de superficie para pintura en techo </t>
    </r>
    <r>
      <rPr>
        <b/>
        <sz val="12"/>
        <color theme="1"/>
        <rFont val="Century Gothic"/>
        <family val="2"/>
      </rPr>
      <t>(Incluye: Lija, Piedra y masilla)</t>
    </r>
  </si>
  <si>
    <r>
      <t xml:space="preserve">Preparado de superficie para pintura en paredes </t>
    </r>
    <r>
      <rPr>
        <b/>
        <sz val="12"/>
        <color theme="1"/>
        <rFont val="Century Gothic"/>
        <family val="2"/>
      </rPr>
      <t>(Incluye: Lija, Piedra y masilla)</t>
    </r>
  </si>
  <si>
    <t>%</t>
  </si>
  <si>
    <t>GASTOS INDIRECTOS</t>
  </si>
  <si>
    <t>Dirección Técnica</t>
  </si>
  <si>
    <t>Seguros y Fianzas</t>
  </si>
  <si>
    <t>Gastos Administrativos</t>
  </si>
  <si>
    <t>Ley 6-86</t>
  </si>
  <si>
    <t>Transporte</t>
  </si>
  <si>
    <t>Codia</t>
  </si>
  <si>
    <t>TOTAL GENERAL</t>
  </si>
  <si>
    <t xml:space="preserve">TOTAL GENERAL </t>
  </si>
  <si>
    <t>ITBIS (18% del 10% de los Costos)</t>
  </si>
  <si>
    <t>Readecuación general de fachada en la administración de Puerto Plata, DGA</t>
  </si>
  <si>
    <r>
      <t xml:space="preserve">Demolición de rampas existentes. </t>
    </r>
    <r>
      <rPr>
        <b/>
        <sz val="12"/>
        <color theme="1"/>
        <rFont val="Century Gothic"/>
        <family val="2"/>
      </rPr>
      <t>SEGÚN PLANO</t>
    </r>
  </si>
  <si>
    <r>
      <t xml:space="preserve">Desmonte de piso de granito en entrada. </t>
    </r>
    <r>
      <rPr>
        <b/>
        <sz val="12"/>
        <color theme="1"/>
        <rFont val="Century Gothic"/>
        <family val="2"/>
      </rPr>
      <t>SEGÚN PLANO</t>
    </r>
  </si>
  <si>
    <t xml:space="preserve">Construcción según planos de rampa para discapacitados con 2 descansos, E=0.12 mts con Ø de 3/8" @0.20 mts en ambas direcciones y hormigón 1:2:4 ligado y vaciado a mano. </t>
  </si>
  <si>
    <t>Suministro e instalación de muro de block de 6'', con Ø 3/8'' @ 0.60m y llenado de cámara con hormigón 1:3:5, en todo el borde de la rampa para tapar huecos</t>
  </si>
  <si>
    <t>Aplicación de empañe maestreado exterior a bloques colocados y espesor lateral de la rampa</t>
  </si>
  <si>
    <t xml:space="preserve">Suministro e instalación de pasa manos redondo de 2" de acero inoxidable en ambos costados de la rampa para discapacitados, incluye apoyos cada 1.00 mts en perfil 1" x 2" agarrado con 4 pernos en el piso. Altura de 0.9 mts. </t>
  </si>
  <si>
    <t>Aplicación de fraguache a todo el espesor lateral de la rampa</t>
  </si>
  <si>
    <t>LETREROS</t>
  </si>
  <si>
    <t>Desmonte de letrero adherido a pared central "Ministerio de Hacienda - Dirección General de Aduanas - Administración Puerto Plata" y el escudo nacional</t>
  </si>
  <si>
    <t xml:space="preserve">Desmonte de letrero de ADUANAS (DGA), con salvamento para reutilizarlo. </t>
  </si>
  <si>
    <t>HERRERIA Y TECHO DE POLICARBONATO</t>
  </si>
  <si>
    <r>
      <t xml:space="preserve">Instalación de letrero que diga DGA - Aduanas que se desmonto para reutilización. </t>
    </r>
    <r>
      <rPr>
        <b/>
        <sz val="12"/>
        <color theme="1"/>
        <rFont val="Century Gothic"/>
        <family val="2"/>
      </rPr>
      <t xml:space="preserve">SEGUN PLANO </t>
    </r>
  </si>
  <si>
    <r>
      <t xml:space="preserve">Desmonte de cerámicas gris de piso en la entrada (1.00 mts x 0.30 mts). </t>
    </r>
    <r>
      <rPr>
        <b/>
        <sz val="12"/>
        <color theme="1"/>
        <rFont val="Century Gothic"/>
        <family val="2"/>
      </rPr>
      <t>SEGÚN PLANO</t>
    </r>
  </si>
  <si>
    <r>
      <t>Desmonte de cerámicas gris de pared, incluye estructura que lo soporta (1.00 mts x 0.60 mts).</t>
    </r>
    <r>
      <rPr>
        <b/>
        <sz val="12"/>
        <color theme="1"/>
        <rFont val="Century Gothic"/>
        <family val="2"/>
      </rPr>
      <t xml:space="preserve"> SEGÚN PLANO</t>
    </r>
  </si>
  <si>
    <t>Remoción de zócalos de granito</t>
  </si>
  <si>
    <t>Remoción de zócalos de cerámica</t>
  </si>
  <si>
    <r>
      <t xml:space="preserve">Suministro e instalación de muros de densglass (4' x 8' x 5/8") a una cara con terminación violinada y soporte en madera de pino en toda el área donde estará el letrero de la DGA (1.20 mts x 0.60 mts), incluye estructura y perfilería para sostenimiento del mismo. </t>
    </r>
    <r>
      <rPr>
        <b/>
        <sz val="12"/>
        <color theme="1"/>
        <rFont val="Century Gothic"/>
        <family val="2"/>
      </rPr>
      <t>VER PLANOS</t>
    </r>
  </si>
  <si>
    <r>
      <t xml:space="preserve">Suministro e instalación de letrero PVC pintado 3/4" grosor (letras en PVC negro, espesor de 3/4 gr., escudo de la bandera dominicana en acrílico con impresión por detrás 6mm espesor, y que el letrero diga: "Ministerio de Hacienda - Dirección General de Aduanas - Administración Puerto Plata". </t>
    </r>
    <r>
      <rPr>
        <b/>
        <sz val="12"/>
        <color theme="1"/>
        <rFont val="Century Gothic"/>
        <family val="2"/>
      </rPr>
      <t xml:space="preserve">SEGUN PLANO </t>
    </r>
  </si>
  <si>
    <r>
      <t xml:space="preserve">Suministro y aplicación de pintura acrílica superior en exterior para muros, color verde institucional. </t>
    </r>
    <r>
      <rPr>
        <b/>
        <sz val="12"/>
        <color theme="1"/>
        <rFont val="Century Gothic"/>
        <family val="2"/>
      </rPr>
      <t>SEGÚN PLANO</t>
    </r>
  </si>
  <si>
    <r>
      <t xml:space="preserve">Suministro y aplicación de pintura acrílica superior en exterior para muros de densglass violinado, color gris. </t>
    </r>
    <r>
      <rPr>
        <b/>
        <sz val="12"/>
        <color theme="1"/>
        <rFont val="Century Gothic"/>
        <family val="2"/>
      </rPr>
      <t>SEGÚN PLANO</t>
    </r>
  </si>
  <si>
    <t>Desmonte de pasamanos en rampas</t>
  </si>
  <si>
    <r>
      <t xml:space="preserve">Suministro e instalación de muros de densglass (4' x 8' x 5/8") a una cara con terminación violinada (1.20 mts x 0.60 mts), incluye estructura y perfilería para sostenimiento del mismo. </t>
    </r>
    <r>
      <rPr>
        <b/>
        <sz val="12"/>
        <color theme="1"/>
        <rFont val="Century Gothic"/>
        <family val="2"/>
      </rPr>
      <t>VER PLANOS</t>
    </r>
  </si>
  <si>
    <r>
      <t xml:space="preserve">Suministro y aplicación de pintura acrílica superior en exterior para muros, color azul positivo institucional. </t>
    </r>
    <r>
      <rPr>
        <b/>
        <sz val="12"/>
        <color theme="1"/>
        <rFont val="Century Gothic"/>
        <family val="2"/>
      </rPr>
      <t>VER PLANOS</t>
    </r>
  </si>
  <si>
    <r>
      <t xml:space="preserve">Suministro y aplicación de pintura acrílica superior en muros exteriores, color blanco 00. </t>
    </r>
    <r>
      <rPr>
        <b/>
        <sz val="12"/>
        <color theme="1"/>
        <rFont val="Century Gothic"/>
        <family val="2"/>
      </rPr>
      <t>VER PLANOS</t>
    </r>
  </si>
  <si>
    <t>Suministro y aplicación de pintura acrílica superior para techo de Sheetrock interior, color blanco 00</t>
  </si>
  <si>
    <t>Suministro e instalación de muro de block de 4'', con Ø 3/8'' @ 0.80m (H= 0.60) y llenado de cámara con hormigón 1:3:5, para bordes de jardinera nueva.</t>
  </si>
  <si>
    <t>OBRA GRIS, RAMPAS Y PASAMANOS INOX.</t>
  </si>
  <si>
    <r>
      <t xml:space="preserve">Suministro y aplicación de pintura acrílica superior en muros exteriores, color azul positivo institucional. </t>
    </r>
    <r>
      <rPr>
        <b/>
        <sz val="12"/>
        <color theme="1"/>
        <rFont val="Century Gothic"/>
        <family val="2"/>
      </rPr>
      <t>VER PLANOS</t>
    </r>
  </si>
  <si>
    <t xml:space="preserve">Suministro e instalación de porcelanato de exterior antideslizante (0.60 mts x 0.60 mts) tanto en entrada como en escaleras, color gris </t>
  </si>
  <si>
    <t>Suministro y relleno de jardinera con tierra negra para siembra de arbustos</t>
  </si>
  <si>
    <t>Suministro y siembra de arbusto Copey en toda la jardineras nuevas</t>
  </si>
  <si>
    <t>JARDINERIA</t>
  </si>
  <si>
    <t>PISOS Y ZOCALOS</t>
  </si>
  <si>
    <t>Desmonte de rampa metálica existente</t>
  </si>
  <si>
    <t>Suministro e instalación de zócalos de porcelanato de exterior antideslizante, color gris</t>
  </si>
  <si>
    <r>
      <t xml:space="preserve">Suministro e instalación de columnas rectangular metálicas en hierro galvanizado de 4" x 2" y espesor de 2.3 mm anclados al piso y con vuelo estructural anclado a la pared, para sostener planchas de policarbonato </t>
    </r>
    <r>
      <rPr>
        <b/>
        <sz val="12"/>
        <color theme="1"/>
        <rFont val="Century Gothic"/>
        <family val="2"/>
      </rPr>
      <t>(VER DISEÑO EN PLANO)</t>
    </r>
  </si>
  <si>
    <r>
      <t xml:space="preserve">Suministro e instalación de de planchas de policarbonato (8 mm x 4' x 8') en estructura metálica, de color azul. </t>
    </r>
    <r>
      <rPr>
        <b/>
        <sz val="12"/>
        <color theme="1"/>
        <rFont val="Century Gothic"/>
        <family val="2"/>
      </rPr>
      <t>(VER DISEÑO EN PLANO)</t>
    </r>
  </si>
  <si>
    <r>
      <t xml:space="preserve">Suministro e instalación de de planchas de policarbonato (8 mm x 4' x 8') en estructura metálica, de color verde. </t>
    </r>
    <r>
      <rPr>
        <b/>
        <sz val="12"/>
        <color theme="1"/>
        <rFont val="Century Gothic"/>
        <family val="2"/>
      </rPr>
      <t>(VER DISEÑO EN PLANO)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</si>
</sst>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7" formatCode="[$-1C0A]d&quot; de &quot;mmmm&quot; de &quot;yyyy;@"/>
    <numFmt numFmtId="168" formatCode="_(&quot;RD$&quot;* #,##0.00_);_(&quot;RD$&quot;* \(#,##0.00\);_(&quot;RD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u val="doubleAccounting"/>
      <sz val="12"/>
      <color theme="1"/>
      <name val="Century Gothic"/>
      <family val="2"/>
    </font>
    <font>
      <b/>
      <sz val="12"/>
      <name val="Century Gothic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b/>
      <sz val="24"/>
      <color theme="1"/>
      <name val="Century Gothic"/>
      <family val="2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7">
    <xf numFmtId="0" fontId="0" fillId="0" borderId="0" xfId="0"/>
    <xf numFmtId="0" fontId="3" fillId="0" borderId="0" xfId="0" applyFont="1"/>
    <xf numFmtId="0" fontId="6" fillId="0" borderId="0" xfId="0" applyFont="1"/>
    <xf numFmtId="0" fontId="6" fillId="0" borderId="0" xfId="0" applyFont="1" applyAlignment="1">
      <alignment wrapText="1"/>
    </xf>
    <xf numFmtId="43" fontId="6" fillId="0" borderId="0" xfId="1" applyFont="1"/>
    <xf numFmtId="168" fontId="6" fillId="0" borderId="0" xfId="0" applyNumberFormat="1" applyFont="1" applyAlignment="1">
      <alignment horizontal="right" vertical="center"/>
    </xf>
    <xf numFmtId="0" fontId="5" fillId="0" borderId="0" xfId="0" applyFont="1"/>
    <xf numFmtId="0" fontId="6" fillId="2" borderId="0" xfId="0" applyFont="1" applyFill="1" applyAlignment="1">
      <alignment wrapText="1"/>
    </xf>
    <xf numFmtId="0" fontId="6" fillId="2" borderId="0" xfId="0" applyFont="1" applyFill="1"/>
    <xf numFmtId="0" fontId="5" fillId="2" borderId="0" xfId="0" applyFont="1" applyFill="1" applyAlignment="1">
      <alignment wrapText="1"/>
    </xf>
    <xf numFmtId="0" fontId="5" fillId="2" borderId="0" xfId="0" applyFont="1" applyFill="1"/>
    <xf numFmtId="0" fontId="3" fillId="2" borderId="0" xfId="0" applyFont="1" applyFill="1"/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right"/>
    </xf>
    <xf numFmtId="164" fontId="5" fillId="2" borderId="0" xfId="0" applyNumberFormat="1" applyFont="1" applyFill="1"/>
    <xf numFmtId="0" fontId="6" fillId="2" borderId="0" xfId="0" applyFont="1" applyFill="1" applyAlignment="1">
      <alignment horizontal="center"/>
    </xf>
    <xf numFmtId="164" fontId="3" fillId="2" borderId="0" xfId="0" applyNumberFormat="1" applyFont="1" applyFill="1"/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vertical="top"/>
    </xf>
    <xf numFmtId="167" fontId="2" fillId="2" borderId="0" xfId="0" applyNumberFormat="1" applyFont="1" applyFill="1" applyAlignment="1">
      <alignment horizontal="center"/>
    </xf>
    <xf numFmtId="164" fontId="6" fillId="2" borderId="0" xfId="0" applyNumberFormat="1" applyFont="1" applyFill="1"/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43" fontId="6" fillId="2" borderId="1" xfId="1" applyFont="1" applyFill="1" applyBorder="1" applyAlignment="1">
      <alignment horizontal="center" vertical="center"/>
    </xf>
    <xf numFmtId="2" fontId="6" fillId="2" borderId="0" xfId="0" applyNumberFormat="1" applyFont="1" applyFill="1"/>
    <xf numFmtId="168" fontId="6" fillId="2" borderId="0" xfId="0" applyNumberFormat="1" applyFont="1" applyFill="1" applyAlignment="1">
      <alignment horizontal="right" vertical="center"/>
    </xf>
    <xf numFmtId="2" fontId="6" fillId="2" borderId="0" xfId="1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168" fontId="6" fillId="2" borderId="3" xfId="0" applyNumberFormat="1" applyFont="1" applyFill="1" applyBorder="1" applyAlignment="1">
      <alignment horizontal="right" vertical="center"/>
    </xf>
    <xf numFmtId="0" fontId="5" fillId="4" borderId="9" xfId="0" applyFont="1" applyFill="1" applyBorder="1"/>
    <xf numFmtId="0" fontId="5" fillId="4" borderId="9" xfId="0" applyFont="1" applyFill="1" applyBorder="1" applyAlignment="1">
      <alignment horizontal="center"/>
    </xf>
    <xf numFmtId="168" fontId="5" fillId="4" borderId="10" xfId="0" applyNumberFormat="1" applyFont="1" applyFill="1" applyBorder="1" applyAlignment="1">
      <alignment horizontal="right" vertical="center"/>
    </xf>
    <xf numFmtId="43" fontId="6" fillId="0" borderId="3" xfId="1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168" fontId="6" fillId="0" borderId="3" xfId="0" applyNumberFormat="1" applyFont="1" applyBorder="1" applyAlignment="1">
      <alignment horizontal="right" vertical="center"/>
    </xf>
    <xf numFmtId="2" fontId="6" fillId="2" borderId="3" xfId="0" applyNumberFormat="1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vertical="center"/>
    </xf>
    <xf numFmtId="164" fontId="6" fillId="4" borderId="9" xfId="0" applyNumberFormat="1" applyFont="1" applyFill="1" applyBorder="1"/>
    <xf numFmtId="2" fontId="5" fillId="4" borderId="8" xfId="0" applyNumberFormat="1" applyFont="1" applyFill="1" applyBorder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2" fontId="6" fillId="2" borderId="0" xfId="0" applyNumberFormat="1" applyFont="1" applyFill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44" fontId="6" fillId="2" borderId="0" xfId="2" applyFont="1" applyFill="1" applyBorder="1"/>
    <xf numFmtId="0" fontId="5" fillId="2" borderId="0" xfId="0" applyFont="1" applyFill="1" applyAlignment="1">
      <alignment horizontal="center" vertical="top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  <xf numFmtId="0" fontId="0" fillId="2" borderId="0" xfId="0" applyFill="1"/>
    <xf numFmtId="0" fontId="6" fillId="0" borderId="1" xfId="0" applyFont="1" applyBorder="1" applyAlignment="1">
      <alignment horizontal="center" vertical="center"/>
    </xf>
    <xf numFmtId="168" fontId="6" fillId="0" borderId="1" xfId="0" applyNumberFormat="1" applyFont="1" applyBorder="1" applyAlignment="1">
      <alignment horizontal="right" vertical="center"/>
    </xf>
    <xf numFmtId="2" fontId="6" fillId="2" borderId="11" xfId="0" applyNumberFormat="1" applyFont="1" applyFill="1" applyBorder="1" applyAlignment="1">
      <alignment horizontal="center" vertical="center"/>
    </xf>
    <xf numFmtId="168" fontId="6" fillId="2" borderId="13" xfId="0" applyNumberFormat="1" applyFont="1" applyFill="1" applyBorder="1" applyAlignment="1">
      <alignment horizontal="right" vertical="center"/>
    </xf>
    <xf numFmtId="168" fontId="6" fillId="2" borderId="14" xfId="0" applyNumberFormat="1" applyFont="1" applyFill="1" applyBorder="1" applyAlignment="1">
      <alignment horizontal="right" vertical="center"/>
    </xf>
    <xf numFmtId="43" fontId="6" fillId="2" borderId="15" xfId="1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168" fontId="6" fillId="2" borderId="16" xfId="0" applyNumberFormat="1" applyFont="1" applyFill="1" applyBorder="1" applyAlignment="1">
      <alignment horizontal="right" vertical="center"/>
    </xf>
    <xf numFmtId="43" fontId="6" fillId="0" borderId="1" xfId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/>
    </xf>
    <xf numFmtId="2" fontId="6" fillId="0" borderId="1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3" fontId="6" fillId="0" borderId="12" xfId="1" applyFont="1" applyFill="1" applyBorder="1" applyAlignment="1">
      <alignment horizontal="center" vertical="center"/>
    </xf>
    <xf numFmtId="168" fontId="6" fillId="0" borderId="12" xfId="0" applyNumberFormat="1" applyFont="1" applyBorder="1" applyAlignment="1">
      <alignment horizontal="right" vertical="center"/>
    </xf>
    <xf numFmtId="168" fontId="6" fillId="0" borderId="13" xfId="0" applyNumberFormat="1" applyFont="1" applyBorder="1" applyAlignment="1">
      <alignment horizontal="right" vertical="center"/>
    </xf>
    <xf numFmtId="168" fontId="6" fillId="0" borderId="0" xfId="0" applyNumberFormat="1" applyFont="1" applyAlignment="1">
      <alignment horizontal="left" vertical="center"/>
    </xf>
    <xf numFmtId="168" fontId="6" fillId="0" borderId="14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15" xfId="0" applyFont="1" applyBorder="1" applyAlignment="1">
      <alignment horizontal="left" vertical="center" wrapText="1"/>
    </xf>
    <xf numFmtId="43" fontId="6" fillId="0" borderId="15" xfId="1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68" fontId="6" fillId="0" borderId="16" xfId="0" applyNumberFormat="1" applyFont="1" applyBorder="1" applyAlignment="1">
      <alignment horizontal="right" vertical="center"/>
    </xf>
    <xf numFmtId="0" fontId="6" fillId="2" borderId="15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top"/>
    </xf>
    <xf numFmtId="168" fontId="7" fillId="2" borderId="0" xfId="0" applyNumberFormat="1" applyFont="1" applyFill="1" applyAlignment="1">
      <alignment horizontal="right" vertical="center"/>
    </xf>
    <xf numFmtId="164" fontId="7" fillId="0" borderId="19" xfId="0" applyNumberFormat="1" applyFont="1" applyBorder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wrapText="1"/>
    </xf>
    <xf numFmtId="164" fontId="5" fillId="0" borderId="20" xfId="0" applyNumberFormat="1" applyFont="1" applyBorder="1"/>
    <xf numFmtId="2" fontId="6" fillId="0" borderId="17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2" fontId="6" fillId="2" borderId="17" xfId="0" applyNumberFormat="1" applyFont="1" applyFill="1" applyBorder="1" applyAlignment="1">
      <alignment horizontal="center" vertical="center"/>
    </xf>
    <xf numFmtId="2" fontId="6" fillId="2" borderId="18" xfId="0" applyNumberFormat="1" applyFont="1" applyFill="1" applyBorder="1" applyAlignment="1">
      <alignment horizontal="center" vertical="center"/>
    </xf>
    <xf numFmtId="2" fontId="6" fillId="0" borderId="18" xfId="0" applyNumberFormat="1" applyFont="1" applyBorder="1" applyAlignment="1">
      <alignment horizontal="center" vertical="center"/>
    </xf>
    <xf numFmtId="2" fontId="6" fillId="2" borderId="0" xfId="0" applyNumberFormat="1" applyFont="1" applyFill="1" applyAlignment="1">
      <alignment vertical="center"/>
    </xf>
    <xf numFmtId="168" fontId="6" fillId="2" borderId="0" xfId="0" applyNumberFormat="1" applyFont="1" applyFill="1" applyAlignment="1">
      <alignment vertical="center"/>
    </xf>
    <xf numFmtId="2" fontId="5" fillId="5" borderId="4" xfId="0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center" vertical="center"/>
    </xf>
    <xf numFmtId="168" fontId="5" fillId="5" borderId="10" xfId="0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left" vertical="center" wrapText="1"/>
    </xf>
    <xf numFmtId="43" fontId="6" fillId="2" borderId="12" xfId="1" applyFont="1" applyFill="1" applyBorder="1" applyAlignment="1">
      <alignment vertical="center"/>
    </xf>
    <xf numFmtId="0" fontId="6" fillId="2" borderId="12" xfId="0" applyFont="1" applyFill="1" applyBorder="1" applyAlignment="1">
      <alignment horizontal="center" vertical="center"/>
    </xf>
    <xf numFmtId="168" fontId="6" fillId="2" borderId="12" xfId="0" applyNumberFormat="1" applyFont="1" applyFill="1" applyBorder="1" applyAlignment="1">
      <alignment horizontal="right" vertical="center"/>
    </xf>
    <xf numFmtId="43" fontId="6" fillId="2" borderId="1" xfId="1" applyFont="1" applyFill="1" applyBorder="1" applyAlignment="1">
      <alignment vertical="center"/>
    </xf>
    <xf numFmtId="43" fontId="6" fillId="2" borderId="15" xfId="1" applyFont="1" applyFill="1" applyBorder="1" applyAlignment="1">
      <alignment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wrapText="1"/>
    </xf>
    <xf numFmtId="2" fontId="5" fillId="4" borderId="4" xfId="0" applyNumberFormat="1" applyFont="1" applyFill="1" applyBorder="1" applyAlignment="1">
      <alignment horizontal="center" vertical="top"/>
    </xf>
    <xf numFmtId="0" fontId="5" fillId="4" borderId="6" xfId="0" applyFont="1" applyFill="1" applyBorder="1" applyAlignment="1">
      <alignment horizontal="left" vertical="center" wrapText="1"/>
    </xf>
    <xf numFmtId="0" fontId="5" fillId="4" borderId="6" xfId="0" applyFont="1" applyFill="1" applyBorder="1"/>
    <xf numFmtId="0" fontId="5" fillId="4" borderId="6" xfId="0" applyFont="1" applyFill="1" applyBorder="1" applyAlignment="1">
      <alignment horizontal="center"/>
    </xf>
    <xf numFmtId="164" fontId="5" fillId="4" borderId="7" xfId="0" applyNumberFormat="1" applyFont="1" applyFill="1" applyBorder="1"/>
    <xf numFmtId="2" fontId="6" fillId="0" borderId="11" xfId="0" applyNumberFormat="1" applyFont="1" applyBorder="1" applyAlignment="1">
      <alignment horizontal="center" vertical="top"/>
    </xf>
    <xf numFmtId="0" fontId="6" fillId="0" borderId="12" xfId="0" applyFont="1" applyBorder="1" applyAlignment="1">
      <alignment wrapText="1"/>
    </xf>
    <xf numFmtId="2" fontId="6" fillId="0" borderId="12" xfId="0" applyNumberFormat="1" applyFont="1" applyBorder="1"/>
    <xf numFmtId="0" fontId="6" fillId="0" borderId="12" xfId="0" applyFont="1" applyBorder="1" applyAlignment="1">
      <alignment horizontal="center"/>
    </xf>
    <xf numFmtId="0" fontId="6" fillId="0" borderId="12" xfId="0" applyFont="1" applyBorder="1"/>
    <xf numFmtId="44" fontId="6" fillId="0" borderId="12" xfId="2" applyFont="1" applyBorder="1"/>
    <xf numFmtId="164" fontId="5" fillId="0" borderId="13" xfId="0" applyNumberFormat="1" applyFont="1" applyBorder="1"/>
    <xf numFmtId="2" fontId="6" fillId="0" borderId="17" xfId="0" applyNumberFormat="1" applyFont="1" applyBorder="1" applyAlignment="1">
      <alignment horizontal="center" vertical="top"/>
    </xf>
    <xf numFmtId="0" fontId="6" fillId="0" borderId="1" xfId="0" applyFont="1" applyBorder="1" applyAlignment="1">
      <alignment wrapText="1"/>
    </xf>
    <xf numFmtId="2" fontId="6" fillId="0" borderId="1" xfId="0" applyNumberFormat="1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44" fontId="6" fillId="0" borderId="1" xfId="2" applyFont="1" applyBorder="1"/>
    <xf numFmtId="164" fontId="5" fillId="0" borderId="14" xfId="0" applyNumberFormat="1" applyFont="1" applyBorder="1"/>
    <xf numFmtId="2" fontId="6" fillId="0" borderId="18" xfId="0" applyNumberFormat="1" applyFont="1" applyBorder="1" applyAlignment="1">
      <alignment horizontal="center" vertical="top"/>
    </xf>
    <xf numFmtId="0" fontId="6" fillId="0" borderId="15" xfId="0" applyFont="1" applyBorder="1" applyAlignment="1">
      <alignment wrapText="1"/>
    </xf>
    <xf numFmtId="2" fontId="6" fillId="0" borderId="15" xfId="0" applyNumberFormat="1" applyFont="1" applyBorder="1"/>
    <xf numFmtId="0" fontId="6" fillId="0" borderId="15" xfId="0" applyFont="1" applyBorder="1" applyAlignment="1">
      <alignment horizontal="center"/>
    </xf>
    <xf numFmtId="0" fontId="6" fillId="0" borderId="15" xfId="0" applyFont="1" applyBorder="1"/>
    <xf numFmtId="44" fontId="6" fillId="0" borderId="15" xfId="2" applyFont="1" applyBorder="1"/>
    <xf numFmtId="164" fontId="5" fillId="0" borderId="16" xfId="0" applyNumberFormat="1" applyFont="1" applyBorder="1"/>
    <xf numFmtId="2" fontId="6" fillId="0" borderId="0" xfId="0" applyNumberFormat="1" applyFont="1" applyAlignment="1">
      <alignment horizontal="center" vertical="top"/>
    </xf>
    <xf numFmtId="2" fontId="6" fillId="0" borderId="0" xfId="0" applyNumberFormat="1" applyFont="1"/>
    <xf numFmtId="44" fontId="6" fillId="0" borderId="0" xfId="2" applyFont="1" applyBorder="1"/>
    <xf numFmtId="164" fontId="6" fillId="0" borderId="0" xfId="0" applyNumberFormat="1" applyFont="1"/>
    <xf numFmtId="2" fontId="0" fillId="2" borderId="0" xfId="0" applyNumberFormat="1" applyFill="1" applyAlignment="1">
      <alignment horizontal="center" vertical="top"/>
    </xf>
    <xf numFmtId="0" fontId="0" fillId="2" borderId="0" xfId="0" applyFill="1" applyAlignment="1">
      <alignment wrapText="1"/>
    </xf>
    <xf numFmtId="43" fontId="0" fillId="2" borderId="0" xfId="1" applyFont="1" applyFill="1" applyBorder="1"/>
    <xf numFmtId="0" fontId="0" fillId="2" borderId="0" xfId="0" applyFill="1" applyAlignment="1">
      <alignment horizontal="center"/>
    </xf>
    <xf numFmtId="44" fontId="0" fillId="2" borderId="0" xfId="2" applyFont="1" applyFill="1" applyBorder="1"/>
    <xf numFmtId="168" fontId="10" fillId="2" borderId="0" xfId="0" applyNumberFormat="1" applyFont="1" applyFill="1" applyAlignment="1">
      <alignment horizontal="right" vertical="center"/>
    </xf>
    <xf numFmtId="0" fontId="0" fillId="2" borderId="0" xfId="0" applyFill="1" applyAlignment="1">
      <alignment horizontal="center" vertical="top"/>
    </xf>
    <xf numFmtId="0" fontId="12" fillId="2" borderId="0" xfId="0" applyFont="1" applyFill="1"/>
    <xf numFmtId="0" fontId="3" fillId="0" borderId="1" xfId="0" applyFont="1" applyBorder="1"/>
    <xf numFmtId="0" fontId="6" fillId="2" borderId="1" xfId="0" applyFont="1" applyFill="1" applyBorder="1" applyAlignment="1">
      <alignment wrapText="1"/>
    </xf>
    <xf numFmtId="2" fontId="6" fillId="2" borderId="1" xfId="1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wrapText="1"/>
    </xf>
    <xf numFmtId="165" fontId="3" fillId="0" borderId="0" xfId="0" applyNumberFormat="1" applyFont="1"/>
    <xf numFmtId="0" fontId="6" fillId="2" borderId="12" xfId="0" applyFont="1" applyFill="1" applyBorder="1" applyAlignment="1">
      <alignment wrapText="1"/>
    </xf>
    <xf numFmtId="2" fontId="6" fillId="2" borderId="12" xfId="1" applyNumberFormat="1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wrapText="1"/>
    </xf>
    <xf numFmtId="2" fontId="6" fillId="2" borderId="15" xfId="1" applyNumberFormat="1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right" vertical="center"/>
    </xf>
    <xf numFmtId="0" fontId="5" fillId="4" borderId="9" xfId="0" applyFont="1" applyFill="1" applyBorder="1" applyAlignment="1">
      <alignment horizontal="right" vertical="center"/>
    </xf>
    <xf numFmtId="0" fontId="6" fillId="0" borderId="11" xfId="0" applyFont="1" applyBorder="1" applyAlignment="1">
      <alignment horizontal="right"/>
    </xf>
    <xf numFmtId="0" fontId="6" fillId="0" borderId="13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0" fontId="5" fillId="0" borderId="16" xfId="0" applyFont="1" applyBorder="1" applyAlignment="1">
      <alignment horizontal="right"/>
    </xf>
    <xf numFmtId="0" fontId="12" fillId="2" borderId="0" xfId="0" applyFont="1" applyFill="1" applyAlignment="1">
      <alignment horizontal="center"/>
    </xf>
    <xf numFmtId="0" fontId="6" fillId="0" borderId="0" xfId="0" applyFont="1" applyAlignment="1">
      <alignment horizontal="center" vertical="top"/>
    </xf>
    <xf numFmtId="0" fontId="9" fillId="2" borderId="0" xfId="0" applyFont="1" applyFill="1" applyAlignment="1">
      <alignment horizontal="center" wrapText="1"/>
    </xf>
    <xf numFmtId="0" fontId="13" fillId="2" borderId="0" xfId="0" applyFont="1" applyFill="1" applyAlignment="1">
      <alignment horizontal="center" wrapText="1"/>
    </xf>
    <xf numFmtId="0" fontId="12" fillId="2" borderId="0" xfId="0" applyFont="1" applyFill="1" applyAlignment="1">
      <alignment horizontal="center" wrapText="1"/>
    </xf>
    <xf numFmtId="0" fontId="8" fillId="0" borderId="0" xfId="0" applyFont="1" applyAlignment="1">
      <alignment horizontal="center" vertical="top"/>
    </xf>
    <xf numFmtId="0" fontId="6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right"/>
    </xf>
    <xf numFmtId="0" fontId="5" fillId="5" borderId="6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2EE1C-107B-4A71-9AB5-19474DADA741}">
  <sheetPr>
    <pageSetUpPr fitToPage="1"/>
  </sheetPr>
  <dimension ref="A1:P86"/>
  <sheetViews>
    <sheetView showGridLines="0" tabSelected="1" zoomScale="60" zoomScaleNormal="60" zoomScaleSheetLayoutView="100" workbookViewId="0">
      <selection activeCell="F53" sqref="F53"/>
    </sheetView>
  </sheetViews>
  <sheetFormatPr baseColWidth="10" defaultRowHeight="16.5" x14ac:dyDescent="0.3"/>
  <cols>
    <col min="1" max="1" width="8" style="1" bestFit="1" customWidth="1"/>
    <col min="2" max="2" width="48.140625" style="1" customWidth="1"/>
    <col min="3" max="3" width="13.5703125" style="1" customWidth="1"/>
    <col min="4" max="4" width="13.140625" style="1" customWidth="1"/>
    <col min="5" max="5" width="19" style="1" bestFit="1" customWidth="1"/>
    <col min="6" max="6" width="21.140625" style="1" customWidth="1"/>
    <col min="7" max="7" width="21.85546875" style="1" customWidth="1"/>
    <col min="8" max="9" width="11.42578125" style="1"/>
    <col min="10" max="10" width="15.5703125" style="1" bestFit="1" customWidth="1"/>
    <col min="11" max="11" width="11.42578125" style="1"/>
    <col min="12" max="12" width="12.5703125" style="1" customWidth="1"/>
    <col min="13" max="16384" width="11.42578125" style="1"/>
  </cols>
  <sheetData>
    <row r="1" spans="1:9" x14ac:dyDescent="0.3">
      <c r="A1" s="18"/>
      <c r="B1" s="18"/>
      <c r="C1" s="11"/>
      <c r="D1" s="17"/>
      <c r="E1" s="11"/>
      <c r="F1" s="19"/>
      <c r="G1" s="19"/>
      <c r="H1" s="11"/>
    </row>
    <row r="2" spans="1:9" ht="29.25" x14ac:dyDescent="0.35">
      <c r="A2" s="162" t="s">
        <v>3</v>
      </c>
      <c r="B2" s="162"/>
      <c r="C2" s="162"/>
      <c r="D2" s="162"/>
      <c r="E2" s="162"/>
      <c r="F2" s="162"/>
      <c r="G2" s="162"/>
      <c r="H2" s="11"/>
    </row>
    <row r="3" spans="1:9" ht="21" thickBot="1" x14ac:dyDescent="0.35">
      <c r="A3" s="163" t="s">
        <v>39</v>
      </c>
      <c r="B3" s="163"/>
      <c r="C3" s="163"/>
      <c r="D3" s="163"/>
      <c r="E3" s="163"/>
      <c r="F3" s="163"/>
      <c r="G3" s="163"/>
      <c r="H3" s="11"/>
    </row>
    <row r="4" spans="1:9" ht="35.25" customHeight="1" thickBot="1" x14ac:dyDescent="0.35">
      <c r="A4" s="27" t="s">
        <v>2</v>
      </c>
      <c r="B4" s="28" t="s">
        <v>4</v>
      </c>
      <c r="C4" s="27" t="s">
        <v>5</v>
      </c>
      <c r="D4" s="27" t="s">
        <v>6</v>
      </c>
      <c r="E4" s="29" t="s">
        <v>7</v>
      </c>
      <c r="F4" s="29" t="s">
        <v>8</v>
      </c>
      <c r="G4" s="27" t="s">
        <v>9</v>
      </c>
      <c r="H4" s="11"/>
    </row>
    <row r="5" spans="1:9" ht="17.25" thickBot="1" x14ac:dyDescent="0.35">
      <c r="A5" s="90">
        <v>1</v>
      </c>
      <c r="B5" s="91" t="s">
        <v>19</v>
      </c>
      <c r="C5" s="92"/>
      <c r="D5" s="92"/>
      <c r="E5" s="92"/>
      <c r="F5" s="92"/>
      <c r="G5" s="93">
        <f>SUM(F6:F20)</f>
        <v>0</v>
      </c>
    </row>
    <row r="6" spans="1:9" ht="35.25" thickBot="1" x14ac:dyDescent="0.35">
      <c r="A6" s="55">
        <f>A5+0.01</f>
        <v>1.01</v>
      </c>
      <c r="B6" s="62" t="s">
        <v>49</v>
      </c>
      <c r="C6" s="66">
        <v>1</v>
      </c>
      <c r="D6" s="63" t="s">
        <v>18</v>
      </c>
      <c r="E6" s="67">
        <v>0</v>
      </c>
      <c r="F6" s="56">
        <f t="shared" ref="F6:F20" si="0">+C6*E6</f>
        <v>0</v>
      </c>
      <c r="G6" s="2"/>
    </row>
    <row r="7" spans="1:9" ht="18" thickBot="1" x14ac:dyDescent="0.35">
      <c r="A7" s="85">
        <f t="shared" ref="A7:A20" si="1">A6+0.01</f>
        <v>1.02</v>
      </c>
      <c r="B7" s="45" t="s">
        <v>73</v>
      </c>
      <c r="C7" s="61">
        <v>1</v>
      </c>
      <c r="D7" s="53" t="s">
        <v>18</v>
      </c>
      <c r="E7" s="67">
        <v>0</v>
      </c>
      <c r="F7" s="57">
        <f t="shared" si="0"/>
        <v>0</v>
      </c>
      <c r="G7" s="2"/>
    </row>
    <row r="8" spans="1:9" ht="87" thickBot="1" x14ac:dyDescent="0.35">
      <c r="A8" s="85">
        <f t="shared" si="1"/>
        <v>1.03</v>
      </c>
      <c r="B8" s="45" t="s">
        <v>48</v>
      </c>
      <c r="C8" s="61">
        <v>1</v>
      </c>
      <c r="D8" s="53" t="s">
        <v>18</v>
      </c>
      <c r="E8" s="67">
        <v>0</v>
      </c>
      <c r="F8" s="57">
        <f t="shared" si="0"/>
        <v>0</v>
      </c>
      <c r="G8" s="2"/>
    </row>
    <row r="9" spans="1:9" ht="18" thickBot="1" x14ac:dyDescent="0.35">
      <c r="A9" s="85">
        <f t="shared" si="1"/>
        <v>1.04</v>
      </c>
      <c r="B9" s="45" t="s">
        <v>60</v>
      </c>
      <c r="C9" s="61">
        <f>(1.7+1.7+2.25+2.25+1.5+1.5+1.7+1.7)</f>
        <v>14.299999999999999</v>
      </c>
      <c r="D9" s="53" t="s">
        <v>25</v>
      </c>
      <c r="E9" s="67">
        <v>0</v>
      </c>
      <c r="F9" s="57">
        <f t="shared" si="0"/>
        <v>0</v>
      </c>
      <c r="G9" s="2"/>
    </row>
    <row r="10" spans="1:9" ht="35.25" thickBot="1" x14ac:dyDescent="0.35">
      <c r="A10" s="85">
        <f t="shared" si="1"/>
        <v>1.05</v>
      </c>
      <c r="B10" s="45" t="s">
        <v>41</v>
      </c>
      <c r="C10" s="61">
        <f>(0.6*3.48)</f>
        <v>2.0880000000000001</v>
      </c>
      <c r="D10" s="53" t="s">
        <v>0</v>
      </c>
      <c r="E10" s="67">
        <v>0</v>
      </c>
      <c r="F10" s="57">
        <f t="shared" si="0"/>
        <v>0</v>
      </c>
      <c r="G10" s="2"/>
      <c r="H10" s="144"/>
    </row>
    <row r="11" spans="1:9" ht="50.25" thickBot="1" x14ac:dyDescent="0.35">
      <c r="A11" s="85">
        <f t="shared" si="1"/>
        <v>1.06</v>
      </c>
      <c r="B11" s="45" t="s">
        <v>52</v>
      </c>
      <c r="C11" s="61">
        <f>(4.48*0.44)+(1.43*5.68)+(1.43*0.4)*(2)</f>
        <v>11.237599999999999</v>
      </c>
      <c r="D11" s="53" t="s">
        <v>0</v>
      </c>
      <c r="E11" s="67">
        <v>0</v>
      </c>
      <c r="F11" s="57">
        <f t="shared" si="0"/>
        <v>0</v>
      </c>
      <c r="G11" s="2"/>
    </row>
    <row r="12" spans="1:9" ht="52.5" thickBot="1" x14ac:dyDescent="0.35">
      <c r="A12" s="85">
        <f t="shared" si="1"/>
        <v>1.07</v>
      </c>
      <c r="B12" s="45" t="s">
        <v>53</v>
      </c>
      <c r="C12" s="61">
        <f>(4*6.1)</f>
        <v>24.4</v>
      </c>
      <c r="D12" s="53" t="s">
        <v>0</v>
      </c>
      <c r="E12" s="67">
        <v>0</v>
      </c>
      <c r="F12" s="57">
        <f t="shared" si="0"/>
        <v>0</v>
      </c>
      <c r="G12" s="2"/>
    </row>
    <row r="13" spans="1:9" ht="33" thickBot="1" x14ac:dyDescent="0.35">
      <c r="A13" s="85">
        <f t="shared" si="1"/>
        <v>1.08</v>
      </c>
      <c r="B13" s="45" t="s">
        <v>40</v>
      </c>
      <c r="C13" s="61">
        <f>((2.25*1.43)+(1.88*1.7))</f>
        <v>6.4134999999999991</v>
      </c>
      <c r="D13" s="53" t="s">
        <v>0</v>
      </c>
      <c r="E13" s="67">
        <v>0</v>
      </c>
      <c r="F13" s="57">
        <f t="shared" si="0"/>
        <v>0</v>
      </c>
      <c r="G13" s="2"/>
    </row>
    <row r="14" spans="1:9" ht="18" thickBot="1" x14ac:dyDescent="0.35">
      <c r="A14" s="85">
        <f t="shared" si="1"/>
        <v>1.0900000000000001</v>
      </c>
      <c r="B14" s="45" t="s">
        <v>54</v>
      </c>
      <c r="C14" s="61">
        <f>0.76+0.76</f>
        <v>1.52</v>
      </c>
      <c r="D14" s="53" t="s">
        <v>25</v>
      </c>
      <c r="E14" s="67">
        <v>0</v>
      </c>
      <c r="F14" s="57">
        <f t="shared" si="0"/>
        <v>0</v>
      </c>
      <c r="G14" s="2"/>
      <c r="I14" s="144">
        <f>C14+C15</f>
        <v>3.72</v>
      </c>
    </row>
    <row r="15" spans="1:9" ht="18" thickBot="1" x14ac:dyDescent="0.35">
      <c r="A15" s="85">
        <f t="shared" si="1"/>
        <v>1.1000000000000001</v>
      </c>
      <c r="B15" s="45" t="s">
        <v>55</v>
      </c>
      <c r="C15" s="23">
        <f>0.44+0.44+0.66+0.66</f>
        <v>2.2000000000000002</v>
      </c>
      <c r="D15" s="53" t="s">
        <v>25</v>
      </c>
      <c r="E15" s="67">
        <v>0</v>
      </c>
      <c r="F15" s="57">
        <f t="shared" si="0"/>
        <v>0</v>
      </c>
      <c r="G15" s="2"/>
    </row>
    <row r="16" spans="1:9" ht="35.25" thickBot="1" x14ac:dyDescent="0.35">
      <c r="A16" s="85">
        <f t="shared" si="1"/>
        <v>1.1100000000000001</v>
      </c>
      <c r="B16" s="21" t="s">
        <v>27</v>
      </c>
      <c r="C16" s="140">
        <v>114.14</v>
      </c>
      <c r="D16" s="22" t="s">
        <v>0</v>
      </c>
      <c r="E16" s="67">
        <v>0</v>
      </c>
      <c r="F16" s="57">
        <f t="shared" si="0"/>
        <v>0</v>
      </c>
      <c r="G16" s="8"/>
      <c r="H16" s="11"/>
    </row>
    <row r="17" spans="1:16" ht="35.25" thickBot="1" x14ac:dyDescent="0.35">
      <c r="A17" s="85">
        <f t="shared" si="1"/>
        <v>1.1200000000000001</v>
      </c>
      <c r="B17" s="21" t="s">
        <v>26</v>
      </c>
      <c r="C17" s="23">
        <v>5.38</v>
      </c>
      <c r="D17" s="22" t="s">
        <v>0</v>
      </c>
      <c r="E17" s="67">
        <v>0</v>
      </c>
      <c r="F17" s="57">
        <f t="shared" si="0"/>
        <v>0</v>
      </c>
      <c r="G17" s="8"/>
      <c r="H17" s="11"/>
    </row>
    <row r="18" spans="1:16" ht="18" thickBot="1" x14ac:dyDescent="0.35">
      <c r="A18" s="85">
        <f t="shared" si="1"/>
        <v>1.1300000000000001</v>
      </c>
      <c r="B18" s="21" t="s">
        <v>14</v>
      </c>
      <c r="C18" s="23">
        <v>1</v>
      </c>
      <c r="D18" s="22" t="s">
        <v>18</v>
      </c>
      <c r="E18" s="67">
        <v>0</v>
      </c>
      <c r="F18" s="57">
        <f t="shared" si="0"/>
        <v>0</v>
      </c>
      <c r="G18" s="8"/>
      <c r="H18" s="11"/>
    </row>
    <row r="19" spans="1:16" ht="18" thickBot="1" x14ac:dyDescent="0.35">
      <c r="A19" s="85">
        <f t="shared" si="1"/>
        <v>1.1400000000000001</v>
      </c>
      <c r="B19" s="21" t="s">
        <v>23</v>
      </c>
      <c r="C19" s="23">
        <v>1</v>
      </c>
      <c r="D19" s="22" t="s">
        <v>18</v>
      </c>
      <c r="E19" s="67">
        <v>0</v>
      </c>
      <c r="F19" s="57">
        <f t="shared" si="0"/>
        <v>0</v>
      </c>
      <c r="G19" s="8"/>
      <c r="H19" s="11"/>
    </row>
    <row r="20" spans="1:16" ht="18" thickBot="1" x14ac:dyDescent="0.35">
      <c r="A20" s="86">
        <f t="shared" si="1"/>
        <v>1.1500000000000001</v>
      </c>
      <c r="B20" s="76" t="s">
        <v>21</v>
      </c>
      <c r="C20" s="58">
        <v>1</v>
      </c>
      <c r="D20" s="59" t="s">
        <v>18</v>
      </c>
      <c r="E20" s="67">
        <v>0</v>
      </c>
      <c r="F20" s="60">
        <f t="shared" si="0"/>
        <v>0</v>
      </c>
      <c r="G20" s="8"/>
      <c r="H20" s="11"/>
    </row>
    <row r="21" spans="1:16" ht="18" thickBot="1" x14ac:dyDescent="0.35">
      <c r="A21" s="49"/>
      <c r="B21" s="7"/>
      <c r="C21" s="8"/>
      <c r="D21" s="15"/>
      <c r="E21" s="8"/>
      <c r="F21" s="20"/>
      <c r="G21" s="8"/>
      <c r="H21" s="11"/>
    </row>
    <row r="22" spans="1:16" ht="17.25" thickBot="1" x14ac:dyDescent="0.35">
      <c r="A22" s="90">
        <v>2</v>
      </c>
      <c r="B22" s="91" t="s">
        <v>22</v>
      </c>
      <c r="C22" s="92"/>
      <c r="D22" s="92"/>
      <c r="E22" s="92"/>
      <c r="F22" s="92"/>
      <c r="G22" s="93">
        <f>SUM(F23:F24)</f>
        <v>0</v>
      </c>
      <c r="H22" s="11"/>
    </row>
    <row r="23" spans="1:16" ht="136.5" thickBot="1" x14ac:dyDescent="0.35">
      <c r="A23" s="64">
        <f>A22+0.01</f>
        <v>2.0099999999999998</v>
      </c>
      <c r="B23" s="62" t="s">
        <v>56</v>
      </c>
      <c r="C23" s="66">
        <f>(3.9*6.1)</f>
        <v>23.79</v>
      </c>
      <c r="D23" s="63" t="s">
        <v>0</v>
      </c>
      <c r="E23" s="67">
        <v>0</v>
      </c>
      <c r="F23" s="68">
        <f t="shared" ref="F23:F24" si="2">+C23*E23</f>
        <v>0</v>
      </c>
      <c r="G23" s="69"/>
    </row>
    <row r="24" spans="1:16" ht="87" thickBot="1" x14ac:dyDescent="0.35">
      <c r="A24" s="87">
        <f>A23+0.01</f>
        <v>2.0199999999999996</v>
      </c>
      <c r="B24" s="72" t="s">
        <v>61</v>
      </c>
      <c r="C24" s="73">
        <f>((2.51*5.27)+(4.9*1.6)+(4.9*0.6))</f>
        <v>24.0077</v>
      </c>
      <c r="D24" s="74" t="s">
        <v>0</v>
      </c>
      <c r="E24" s="67">
        <v>0</v>
      </c>
      <c r="F24" s="75">
        <f t="shared" si="2"/>
        <v>0</v>
      </c>
      <c r="G24" s="69"/>
    </row>
    <row r="25" spans="1:16" ht="18" thickBot="1" x14ac:dyDescent="0.35">
      <c r="A25" s="43"/>
      <c r="B25" s="7"/>
      <c r="C25" s="24"/>
      <c r="D25" s="15"/>
      <c r="E25" s="47"/>
      <c r="F25" s="20"/>
      <c r="G25" s="84"/>
      <c r="H25" s="84"/>
      <c r="I25" s="84"/>
      <c r="J25" s="84"/>
      <c r="K25" s="84"/>
      <c r="L25" s="84"/>
      <c r="M25" s="84"/>
      <c r="N25" s="84"/>
      <c r="O25" s="84"/>
      <c r="P25" s="84"/>
    </row>
    <row r="26" spans="1:16" ht="18" thickBot="1" x14ac:dyDescent="0.35">
      <c r="A26" s="90">
        <v>3</v>
      </c>
      <c r="B26" s="165" t="s">
        <v>66</v>
      </c>
      <c r="C26" s="165"/>
      <c r="D26" s="165"/>
      <c r="E26" s="165"/>
      <c r="F26" s="165"/>
      <c r="G26" s="93">
        <f>SUM(F27:F32)</f>
        <v>0</v>
      </c>
      <c r="H26" s="84"/>
      <c r="I26" s="84"/>
      <c r="J26" s="84"/>
      <c r="K26" s="84"/>
      <c r="L26" s="84"/>
      <c r="M26" s="84"/>
      <c r="N26" s="84"/>
      <c r="O26" s="84"/>
      <c r="P26" s="84"/>
    </row>
    <row r="27" spans="1:16" ht="87" thickBot="1" x14ac:dyDescent="0.35">
      <c r="A27" s="55">
        <f>A26+0.01</f>
        <v>3.01</v>
      </c>
      <c r="B27" s="94" t="s">
        <v>42</v>
      </c>
      <c r="C27" s="95">
        <f>(6.4*1.43*0.12)+(1.7*1.83*0.12)</f>
        <v>1.4715599999999998</v>
      </c>
      <c r="D27" s="96" t="s">
        <v>24</v>
      </c>
      <c r="E27" s="97">
        <v>0</v>
      </c>
      <c r="F27" s="56">
        <f t="shared" ref="F27:F32" si="3">E27*C27</f>
        <v>0</v>
      </c>
      <c r="G27" s="8"/>
      <c r="H27" s="84"/>
      <c r="I27" s="84"/>
      <c r="J27" s="84"/>
      <c r="K27" s="84"/>
      <c r="L27" s="84"/>
      <c r="M27" s="84"/>
      <c r="N27" s="84"/>
      <c r="O27" s="84"/>
      <c r="P27" s="84"/>
    </row>
    <row r="28" spans="1:16" ht="87" thickBot="1" x14ac:dyDescent="0.35">
      <c r="A28" s="85">
        <f t="shared" ref="A28:A32" si="4">A27+0.01</f>
        <v>3.0199999999999996</v>
      </c>
      <c r="B28" s="45" t="s">
        <v>43</v>
      </c>
      <c r="C28" s="98">
        <f>(0.56*3.2)*(2)</f>
        <v>3.5840000000000005</v>
      </c>
      <c r="D28" s="22" t="s">
        <v>0</v>
      </c>
      <c r="E28" s="97">
        <v>0</v>
      </c>
      <c r="F28" s="57">
        <f t="shared" si="3"/>
        <v>0</v>
      </c>
      <c r="G28" s="8"/>
      <c r="H28" s="84"/>
      <c r="I28" s="84"/>
      <c r="J28" s="84"/>
      <c r="K28" s="84"/>
      <c r="L28" s="84"/>
      <c r="M28" s="84"/>
      <c r="N28" s="84"/>
      <c r="O28" s="84"/>
      <c r="P28" s="84"/>
    </row>
    <row r="29" spans="1:16" ht="35.25" thickBot="1" x14ac:dyDescent="0.35">
      <c r="A29" s="85">
        <f t="shared" si="4"/>
        <v>3.0299999999999994</v>
      </c>
      <c r="B29" s="45" t="s">
        <v>46</v>
      </c>
      <c r="C29" s="98">
        <f>(6.4*0.12)*(2)</f>
        <v>1.536</v>
      </c>
      <c r="D29" s="22" t="s">
        <v>0</v>
      </c>
      <c r="E29" s="97">
        <v>0</v>
      </c>
      <c r="F29" s="57">
        <f t="shared" si="3"/>
        <v>0</v>
      </c>
      <c r="G29" s="8"/>
      <c r="H29" s="84"/>
      <c r="I29" s="84"/>
      <c r="J29" s="84"/>
      <c r="K29" s="84"/>
      <c r="L29" s="84"/>
      <c r="M29" s="84"/>
      <c r="N29" s="84"/>
      <c r="O29" s="84"/>
      <c r="P29" s="84"/>
    </row>
    <row r="30" spans="1:16" ht="52.5" thickBot="1" x14ac:dyDescent="0.35">
      <c r="A30" s="85">
        <f t="shared" si="4"/>
        <v>3.0399999999999991</v>
      </c>
      <c r="B30" s="45" t="s">
        <v>44</v>
      </c>
      <c r="C30" s="98">
        <f>((0.77+1.79+1.79+0.77)+(4.77*0.6)+(4.9*0.6))</f>
        <v>10.921999999999999</v>
      </c>
      <c r="D30" s="22" t="s">
        <v>0</v>
      </c>
      <c r="E30" s="97">
        <v>0</v>
      </c>
      <c r="F30" s="57">
        <f t="shared" si="3"/>
        <v>0</v>
      </c>
      <c r="G30" s="8"/>
      <c r="H30" s="84"/>
      <c r="I30" s="84"/>
      <c r="J30" s="84"/>
      <c r="K30" s="84"/>
      <c r="L30" s="84"/>
      <c r="M30" s="84"/>
      <c r="N30" s="84"/>
      <c r="O30" s="84"/>
      <c r="P30" s="84"/>
    </row>
    <row r="31" spans="1:16" ht="104.25" thickBot="1" x14ac:dyDescent="0.35">
      <c r="A31" s="85">
        <f t="shared" si="4"/>
        <v>3.0499999999999989</v>
      </c>
      <c r="B31" s="45" t="s">
        <v>45</v>
      </c>
      <c r="C31" s="98">
        <f>6.5+1.8+6.5+1.8</f>
        <v>16.600000000000001</v>
      </c>
      <c r="D31" s="22" t="s">
        <v>25</v>
      </c>
      <c r="E31" s="97">
        <v>0</v>
      </c>
      <c r="F31" s="57">
        <f t="shared" si="3"/>
        <v>0</v>
      </c>
      <c r="G31" s="8"/>
      <c r="H31" s="84"/>
      <c r="I31" s="84"/>
      <c r="J31" s="84"/>
      <c r="K31" s="84"/>
      <c r="L31" s="84"/>
      <c r="M31" s="84"/>
      <c r="N31" s="84"/>
      <c r="O31" s="84"/>
      <c r="P31" s="84"/>
    </row>
    <row r="32" spans="1:16" ht="69.75" thickBot="1" x14ac:dyDescent="0.35">
      <c r="A32" s="86">
        <f t="shared" si="4"/>
        <v>3.0599999999999987</v>
      </c>
      <c r="B32" s="72" t="s">
        <v>65</v>
      </c>
      <c r="C32" s="99">
        <f>((4.77*0.6)+(4.9*0.6))</f>
        <v>5.8019999999999996</v>
      </c>
      <c r="D32" s="59" t="s">
        <v>0</v>
      </c>
      <c r="E32" s="97">
        <v>0</v>
      </c>
      <c r="F32" s="60">
        <f t="shared" si="3"/>
        <v>0</v>
      </c>
      <c r="G32" s="84"/>
      <c r="H32" s="84"/>
      <c r="I32" s="84"/>
      <c r="J32" s="84"/>
      <c r="K32" s="84"/>
      <c r="L32" s="84"/>
      <c r="M32" s="84"/>
      <c r="N32" s="84"/>
      <c r="O32" s="84"/>
      <c r="P32" s="84"/>
    </row>
    <row r="33" spans="1:16" ht="18" thickBot="1" x14ac:dyDescent="0.35">
      <c r="A33" s="43"/>
      <c r="B33" s="7"/>
      <c r="C33" s="24"/>
      <c r="D33" s="15"/>
      <c r="E33" s="47"/>
      <c r="F33" s="20"/>
      <c r="G33" s="84"/>
      <c r="H33" s="84"/>
      <c r="I33" s="84"/>
      <c r="J33" s="84"/>
      <c r="K33" s="84"/>
      <c r="L33" s="84"/>
      <c r="M33" s="84"/>
      <c r="N33" s="84"/>
      <c r="O33" s="84"/>
      <c r="P33" s="84"/>
    </row>
    <row r="34" spans="1:16" ht="18" thickBot="1" x14ac:dyDescent="0.35">
      <c r="A34" s="90">
        <v>4</v>
      </c>
      <c r="B34" s="91" t="s">
        <v>47</v>
      </c>
      <c r="C34" s="92"/>
      <c r="D34" s="92"/>
      <c r="E34" s="92"/>
      <c r="F34" s="92"/>
      <c r="G34" s="93">
        <f>SUM(F35:F36)</f>
        <v>0</v>
      </c>
      <c r="H34" s="84"/>
      <c r="I34" s="84"/>
      <c r="J34" s="84"/>
      <c r="K34" s="84"/>
      <c r="L34" s="84"/>
      <c r="M34" s="84"/>
      <c r="N34" s="84"/>
      <c r="O34" s="84"/>
      <c r="P34" s="84"/>
    </row>
    <row r="35" spans="1:16" ht="138.75" thickBot="1" x14ac:dyDescent="0.35">
      <c r="A35" s="64">
        <f>A34+0.01</f>
        <v>4.01</v>
      </c>
      <c r="B35" s="62" t="s">
        <v>57</v>
      </c>
      <c r="C35" s="66">
        <v>1</v>
      </c>
      <c r="D35" s="63" t="s">
        <v>18</v>
      </c>
      <c r="E35" s="67">
        <v>0</v>
      </c>
      <c r="F35" s="68">
        <f t="shared" ref="F35:F36" si="5">+C35*E35</f>
        <v>0</v>
      </c>
      <c r="G35" s="69"/>
      <c r="H35" s="84"/>
      <c r="I35" s="84"/>
      <c r="J35" s="84"/>
      <c r="K35" s="84"/>
      <c r="L35" s="84"/>
      <c r="M35" s="84"/>
      <c r="N35" s="84"/>
      <c r="O35" s="84"/>
      <c r="P35" s="84"/>
    </row>
    <row r="36" spans="1:16" ht="52.5" thickBot="1" x14ac:dyDescent="0.35">
      <c r="A36" s="87">
        <f t="shared" ref="A36" si="6">A35+0.01</f>
        <v>4.0199999999999996</v>
      </c>
      <c r="B36" s="72" t="s">
        <v>51</v>
      </c>
      <c r="C36" s="73">
        <v>1</v>
      </c>
      <c r="D36" s="74" t="s">
        <v>18</v>
      </c>
      <c r="E36" s="67">
        <v>0</v>
      </c>
      <c r="F36" s="75">
        <f t="shared" si="5"/>
        <v>0</v>
      </c>
      <c r="G36" s="84"/>
      <c r="H36" s="84"/>
      <c r="I36" s="84"/>
      <c r="J36" s="84"/>
      <c r="K36" s="84"/>
      <c r="L36" s="84"/>
      <c r="M36" s="84"/>
      <c r="N36" s="84"/>
      <c r="O36" s="84"/>
      <c r="P36" s="84"/>
    </row>
    <row r="37" spans="1:16" ht="18" thickBot="1" x14ac:dyDescent="0.35">
      <c r="A37" s="43"/>
      <c r="B37" s="7"/>
      <c r="C37" s="24"/>
      <c r="D37" s="15"/>
      <c r="E37" s="47"/>
      <c r="F37" s="20"/>
      <c r="G37" s="84"/>
      <c r="H37" s="84"/>
      <c r="I37" s="84"/>
      <c r="J37" s="84"/>
      <c r="K37" s="84"/>
      <c r="L37" s="84"/>
      <c r="M37" s="84"/>
      <c r="N37" s="84"/>
      <c r="O37" s="84"/>
      <c r="P37" s="84"/>
    </row>
    <row r="38" spans="1:16" ht="17.25" thickBot="1" x14ac:dyDescent="0.35">
      <c r="A38" s="90">
        <v>5</v>
      </c>
      <c r="B38" s="91" t="s">
        <v>20</v>
      </c>
      <c r="C38" s="92"/>
      <c r="D38" s="92"/>
      <c r="E38" s="92"/>
      <c r="F38" s="92"/>
      <c r="G38" s="93">
        <f>SUM(F39:F44)</f>
        <v>0</v>
      </c>
      <c r="H38" s="11"/>
    </row>
    <row r="39" spans="1:16" ht="51.75" x14ac:dyDescent="0.3">
      <c r="A39" s="64">
        <f>A38+0.01</f>
        <v>5.01</v>
      </c>
      <c r="B39" s="62" t="s">
        <v>64</v>
      </c>
      <c r="C39" s="66">
        <f>1.2*4.48</f>
        <v>5.3760000000000003</v>
      </c>
      <c r="D39" s="63" t="s">
        <v>0</v>
      </c>
      <c r="E39" s="67">
        <v>0</v>
      </c>
      <c r="F39" s="68">
        <f>C39*E39</f>
        <v>0</v>
      </c>
      <c r="G39" s="71"/>
      <c r="I39" s="144">
        <f>C40+C41+C42+C43</f>
        <v>114.1407</v>
      </c>
    </row>
    <row r="40" spans="1:16" ht="51.75" x14ac:dyDescent="0.3">
      <c r="A40" s="83">
        <f t="shared" ref="A40:A44" si="7">A39+0.01</f>
        <v>5.0199999999999996</v>
      </c>
      <c r="B40" s="45" t="s">
        <v>67</v>
      </c>
      <c r="C40" s="61">
        <f>(3.5*1.2)+(3.5*1.2)</f>
        <v>8.4</v>
      </c>
      <c r="D40" s="53" t="s">
        <v>0</v>
      </c>
      <c r="E40" s="54">
        <v>0</v>
      </c>
      <c r="F40" s="70">
        <f>C40*E40</f>
        <v>0</v>
      </c>
      <c r="G40" s="71"/>
    </row>
    <row r="41" spans="1:16" ht="51.75" x14ac:dyDescent="0.3">
      <c r="A41" s="83">
        <f t="shared" si="7"/>
        <v>5.0299999999999994</v>
      </c>
      <c r="B41" s="45" t="s">
        <v>63</v>
      </c>
      <c r="C41" s="61">
        <f>((4.77*0.83)+(4.77*3.07)+(7.41*0.83)+(4.9*3.07)+(0.6*7))</f>
        <v>43.996299999999998</v>
      </c>
      <c r="D41" s="53" t="s">
        <v>0</v>
      </c>
      <c r="E41" s="54">
        <v>0</v>
      </c>
      <c r="F41" s="70">
        <f>C41*E41</f>
        <v>0</v>
      </c>
      <c r="G41" s="71"/>
    </row>
    <row r="42" spans="1:16" ht="66.75" x14ac:dyDescent="0.3">
      <c r="A42" s="83">
        <f t="shared" si="7"/>
        <v>5.0399999999999991</v>
      </c>
      <c r="B42" s="45" t="s">
        <v>62</v>
      </c>
      <c r="C42" s="61">
        <f>((5.68*6.1)+(0.6*3.5)+(0.6*3.5)+(4.77*0.6)+(4.9*0.6)+(4.77*0.1)+(4.9*0.1)+(3.5*1.2)+(3.5*1.2))</f>
        <v>54.017000000000003</v>
      </c>
      <c r="D42" s="53" t="s">
        <v>0</v>
      </c>
      <c r="E42" s="54">
        <v>0</v>
      </c>
      <c r="F42" s="70">
        <f t="shared" ref="F42:F44" si="8">C42*E42</f>
        <v>0</v>
      </c>
      <c r="G42" s="71"/>
    </row>
    <row r="43" spans="1:16" ht="51.75" x14ac:dyDescent="0.3">
      <c r="A43" s="83">
        <f t="shared" si="7"/>
        <v>5.0499999999999989</v>
      </c>
      <c r="B43" s="45" t="s">
        <v>58</v>
      </c>
      <c r="C43" s="61">
        <f>((4.77*1.62))</f>
        <v>7.7273999999999994</v>
      </c>
      <c r="D43" s="53" t="s">
        <v>0</v>
      </c>
      <c r="E43" s="54">
        <v>0</v>
      </c>
      <c r="F43" s="70">
        <f t="shared" si="8"/>
        <v>0</v>
      </c>
      <c r="G43" s="71"/>
    </row>
    <row r="44" spans="1:16" ht="67.5" thickBot="1" x14ac:dyDescent="0.35">
      <c r="A44" s="87">
        <f t="shared" si="7"/>
        <v>5.0599999999999987</v>
      </c>
      <c r="B44" s="72" t="s">
        <v>59</v>
      </c>
      <c r="C44" s="73">
        <f>((3.9*6.1)+(2.51*5.27)+(4.9*1.6)+(4.9*0.6))</f>
        <v>47.797699999999999</v>
      </c>
      <c r="D44" s="74" t="s">
        <v>0</v>
      </c>
      <c r="E44" s="54">
        <v>0</v>
      </c>
      <c r="F44" s="75">
        <f t="shared" si="8"/>
        <v>0</v>
      </c>
      <c r="G44" s="71"/>
    </row>
    <row r="45" spans="1:16" ht="18" thickBot="1" x14ac:dyDescent="0.35">
      <c r="A45" s="88"/>
      <c r="B45" s="7"/>
      <c r="C45" s="26"/>
      <c r="D45" s="49"/>
      <c r="E45" s="25"/>
      <c r="F45" s="89"/>
      <c r="G45" s="8"/>
      <c r="H45" s="11"/>
    </row>
    <row r="46" spans="1:16" ht="17.25" thickBot="1" x14ac:dyDescent="0.35">
      <c r="A46" s="90">
        <v>6</v>
      </c>
      <c r="B46" s="91" t="s">
        <v>50</v>
      </c>
      <c r="C46" s="92"/>
      <c r="D46" s="92"/>
      <c r="E46" s="92"/>
      <c r="F46" s="92"/>
      <c r="G46" s="93">
        <f>SUM(F47:F49)</f>
        <v>0</v>
      </c>
      <c r="H46" s="11"/>
    </row>
    <row r="47" spans="1:16" ht="120.75" thickBot="1" x14ac:dyDescent="0.35">
      <c r="A47" s="55">
        <f>A46+0.01</f>
        <v>6.01</v>
      </c>
      <c r="B47" s="145" t="s">
        <v>75</v>
      </c>
      <c r="C47" s="146">
        <f>((0.72*10.45)+((2.3*3.42)/(2))+16.93)</f>
        <v>28.387</v>
      </c>
      <c r="D47" s="63" t="s">
        <v>0</v>
      </c>
      <c r="E47" s="97">
        <v>0</v>
      </c>
      <c r="F47" s="68">
        <f>C47*E47</f>
        <v>0</v>
      </c>
      <c r="G47" s="8"/>
      <c r="H47" s="11"/>
      <c r="J47" s="143">
        <v>16.93</v>
      </c>
      <c r="K47" s="1">
        <f>((0.72*10.45)+((2.3*3.42)/(2))+16.93)</f>
        <v>28.387</v>
      </c>
    </row>
    <row r="48" spans="1:16" ht="69" thickBot="1" x14ac:dyDescent="0.35">
      <c r="A48" s="85">
        <f t="shared" ref="A48:A49" si="9">A47+0.01</f>
        <v>6.02</v>
      </c>
      <c r="B48" s="141" t="s">
        <v>76</v>
      </c>
      <c r="C48" s="142">
        <f>((5.18*1.57)+(3*2.06))</f>
        <v>14.3126</v>
      </c>
      <c r="D48" s="53" t="s">
        <v>0</v>
      </c>
      <c r="E48" s="97">
        <v>0</v>
      </c>
      <c r="F48" s="70">
        <f>C48*E48</f>
        <v>0</v>
      </c>
      <c r="G48" s="8"/>
      <c r="H48" s="11"/>
    </row>
    <row r="49" spans="1:8" ht="69" thickBot="1" x14ac:dyDescent="0.35">
      <c r="A49" s="86">
        <f t="shared" si="9"/>
        <v>6.0299999999999994</v>
      </c>
      <c r="B49" s="147" t="s">
        <v>77</v>
      </c>
      <c r="C49" s="148">
        <f>1.27*2.06</f>
        <v>2.6162000000000001</v>
      </c>
      <c r="D49" s="74" t="s">
        <v>0</v>
      </c>
      <c r="E49" s="97">
        <v>0</v>
      </c>
      <c r="F49" s="75">
        <f t="shared" ref="F48:F49" si="10">C49*E49</f>
        <v>0</v>
      </c>
      <c r="G49" s="8"/>
      <c r="H49" s="11"/>
    </row>
    <row r="50" spans="1:8" ht="18" thickBot="1" x14ac:dyDescent="0.35">
      <c r="A50" s="88"/>
      <c r="B50" s="7"/>
      <c r="C50" s="26"/>
      <c r="D50" s="49"/>
      <c r="E50" s="25"/>
      <c r="F50" s="89"/>
      <c r="G50" s="8"/>
      <c r="H50" s="11"/>
    </row>
    <row r="51" spans="1:8" ht="17.25" thickBot="1" x14ac:dyDescent="0.35">
      <c r="A51" s="90">
        <v>7</v>
      </c>
      <c r="B51" s="91" t="s">
        <v>72</v>
      </c>
      <c r="C51" s="92"/>
      <c r="D51" s="92"/>
      <c r="E51" s="92"/>
      <c r="F51" s="92"/>
      <c r="G51" s="93">
        <f>SUM(F52:F53)</f>
        <v>0</v>
      </c>
      <c r="H51" s="11"/>
    </row>
    <row r="52" spans="1:8" ht="69.75" thickBot="1" x14ac:dyDescent="0.35">
      <c r="A52" s="55">
        <f>A51+0.01</f>
        <v>7.01</v>
      </c>
      <c r="B52" s="145" t="s">
        <v>68</v>
      </c>
      <c r="C52" s="146">
        <f>((0.46*3.48)+(0.3*3.48)+(0.44*3.48)+(1.43*5.68)+(1.43*0.9))</f>
        <v>13.5854</v>
      </c>
      <c r="D52" s="63" t="s">
        <v>0</v>
      </c>
      <c r="E52" s="97">
        <v>0</v>
      </c>
      <c r="F52" s="68">
        <f>C52*E52</f>
        <v>0</v>
      </c>
      <c r="G52" s="8"/>
      <c r="H52" s="11"/>
    </row>
    <row r="53" spans="1:8" ht="52.5" thickBot="1" x14ac:dyDescent="0.35">
      <c r="A53" s="86">
        <f>A52+0.01</f>
        <v>7.02</v>
      </c>
      <c r="B53" s="147" t="s">
        <v>74</v>
      </c>
      <c r="C53" s="148">
        <v>3.72</v>
      </c>
      <c r="D53" s="74" t="s">
        <v>25</v>
      </c>
      <c r="E53" s="97">
        <v>0</v>
      </c>
      <c r="F53" s="75">
        <f t="shared" ref="F52:F53" si="11">C53*E53</f>
        <v>0</v>
      </c>
      <c r="G53" s="8"/>
      <c r="H53" s="11"/>
    </row>
    <row r="54" spans="1:8" ht="18" thickBot="1" x14ac:dyDescent="0.35">
      <c r="A54" s="88"/>
      <c r="B54" s="7"/>
      <c r="C54" s="26"/>
      <c r="D54" s="49"/>
      <c r="E54" s="25"/>
      <c r="F54" s="89"/>
      <c r="G54" s="8"/>
      <c r="H54" s="11"/>
    </row>
    <row r="55" spans="1:8" ht="17.25" thickBot="1" x14ac:dyDescent="0.35">
      <c r="A55" s="90">
        <v>8</v>
      </c>
      <c r="B55" s="91" t="s">
        <v>71</v>
      </c>
      <c r="C55" s="92"/>
      <c r="D55" s="92"/>
      <c r="E55" s="92"/>
      <c r="F55" s="92"/>
      <c r="G55" s="93">
        <f>SUM(F56:F57)</f>
        <v>0</v>
      </c>
      <c r="H55" s="11"/>
    </row>
    <row r="56" spans="1:8" ht="35.25" thickBot="1" x14ac:dyDescent="0.35">
      <c r="A56" s="55">
        <f>A55+0.01</f>
        <v>8.01</v>
      </c>
      <c r="B56" s="145" t="s">
        <v>69</v>
      </c>
      <c r="C56" s="146">
        <f>((4.77*0.6*0.7)+(4.9*0.6*0.7))</f>
        <v>4.061399999999999</v>
      </c>
      <c r="D56" s="63" t="s">
        <v>24</v>
      </c>
      <c r="E56" s="97">
        <v>0</v>
      </c>
      <c r="F56" s="68">
        <f t="shared" ref="F56:F57" si="12">C56*E56</f>
        <v>0</v>
      </c>
      <c r="G56" s="8"/>
      <c r="H56" s="11"/>
    </row>
    <row r="57" spans="1:8" ht="35.25" thickBot="1" x14ac:dyDescent="0.35">
      <c r="A57" s="86">
        <f>A56+0.01</f>
        <v>8.02</v>
      </c>
      <c r="B57" s="147" t="s">
        <v>70</v>
      </c>
      <c r="C57" s="148">
        <v>20</v>
      </c>
      <c r="D57" s="74" t="s">
        <v>1</v>
      </c>
      <c r="E57" s="97">
        <v>0</v>
      </c>
      <c r="F57" s="75">
        <f t="shared" si="12"/>
        <v>0</v>
      </c>
      <c r="G57" s="8"/>
      <c r="H57" s="11"/>
    </row>
    <row r="58" spans="1:8" ht="18" thickBot="1" x14ac:dyDescent="0.35">
      <c r="A58" s="88"/>
      <c r="B58" s="7"/>
      <c r="C58" s="26"/>
      <c r="D58" s="49"/>
      <c r="E58" s="25"/>
      <c r="F58" s="89"/>
      <c r="G58" s="8"/>
      <c r="H58" s="11"/>
    </row>
    <row r="59" spans="1:8" ht="17.25" thickBot="1" x14ac:dyDescent="0.35">
      <c r="A59" s="100"/>
      <c r="B59" s="101"/>
      <c r="C59" s="32"/>
      <c r="D59" s="33"/>
      <c r="E59" s="164" t="s">
        <v>11</v>
      </c>
      <c r="F59" s="164"/>
      <c r="G59" s="34">
        <f>SUM(G5:G58)</f>
        <v>0</v>
      </c>
      <c r="H59" s="16"/>
    </row>
    <row r="60" spans="1:8" ht="20.25" thickBot="1" x14ac:dyDescent="0.35">
      <c r="A60" s="77"/>
      <c r="B60" s="7"/>
      <c r="C60" s="8"/>
      <c r="D60" s="11"/>
      <c r="E60" s="161"/>
      <c r="F60" s="161"/>
      <c r="G60" s="78"/>
      <c r="H60" s="11"/>
    </row>
    <row r="61" spans="1:8" ht="17.25" thickBot="1" x14ac:dyDescent="0.35">
      <c r="A61" s="102">
        <v>9</v>
      </c>
      <c r="B61" s="103" t="s">
        <v>29</v>
      </c>
      <c r="C61" s="104"/>
      <c r="D61" s="105"/>
      <c r="E61" s="104"/>
      <c r="F61" s="104"/>
      <c r="G61" s="106">
        <f>SUM(G62:G67)</f>
        <v>0</v>
      </c>
      <c r="H61" s="11"/>
    </row>
    <row r="62" spans="1:8" ht="17.25" x14ac:dyDescent="0.3">
      <c r="A62" s="107">
        <f t="shared" ref="A62:A67" si="13">A61+0.01</f>
        <v>9.01</v>
      </c>
      <c r="B62" s="108" t="s">
        <v>30</v>
      </c>
      <c r="C62" s="109">
        <v>10</v>
      </c>
      <c r="D62" s="110" t="s">
        <v>28</v>
      </c>
      <c r="E62" s="111"/>
      <c r="F62" s="112"/>
      <c r="G62" s="113">
        <f>$G$59*(C62/100)</f>
        <v>0</v>
      </c>
      <c r="H62" s="11"/>
    </row>
    <row r="63" spans="1:8" ht="16.5" customHeight="1" x14ac:dyDescent="0.3">
      <c r="A63" s="114">
        <f t="shared" si="13"/>
        <v>9.02</v>
      </c>
      <c r="B63" s="115" t="s">
        <v>31</v>
      </c>
      <c r="C63" s="116">
        <v>3</v>
      </c>
      <c r="D63" s="117" t="s">
        <v>28</v>
      </c>
      <c r="E63" s="118"/>
      <c r="F63" s="119"/>
      <c r="G63" s="120">
        <f t="shared" ref="G63:G67" si="14">$G$59*(C63/100)</f>
        <v>0</v>
      </c>
      <c r="H63" s="11"/>
    </row>
    <row r="64" spans="1:8" ht="17.25" x14ac:dyDescent="0.3">
      <c r="A64" s="114">
        <f t="shared" si="13"/>
        <v>9.0299999999999994</v>
      </c>
      <c r="B64" s="115" t="s">
        <v>32</v>
      </c>
      <c r="C64" s="116">
        <v>3</v>
      </c>
      <c r="D64" s="117" t="s">
        <v>28</v>
      </c>
      <c r="E64" s="118"/>
      <c r="F64" s="119"/>
      <c r="G64" s="120">
        <f t="shared" si="14"/>
        <v>0</v>
      </c>
      <c r="H64" s="11"/>
    </row>
    <row r="65" spans="1:8" ht="18.75" customHeight="1" x14ac:dyDescent="0.3">
      <c r="A65" s="114">
        <f t="shared" si="13"/>
        <v>9.0399999999999991</v>
      </c>
      <c r="B65" s="115" t="s">
        <v>33</v>
      </c>
      <c r="C65" s="116">
        <v>1</v>
      </c>
      <c r="D65" s="117" t="s">
        <v>28</v>
      </c>
      <c r="E65" s="118"/>
      <c r="F65" s="119"/>
      <c r="G65" s="120">
        <f t="shared" si="14"/>
        <v>0</v>
      </c>
      <c r="H65" s="11"/>
    </row>
    <row r="66" spans="1:8" ht="17.25" x14ac:dyDescent="0.3">
      <c r="A66" s="114">
        <f t="shared" si="13"/>
        <v>9.0499999999999989</v>
      </c>
      <c r="B66" s="115" t="s">
        <v>34</v>
      </c>
      <c r="C66" s="116">
        <v>3</v>
      </c>
      <c r="D66" s="117" t="s">
        <v>28</v>
      </c>
      <c r="E66" s="118"/>
      <c r="F66" s="119"/>
      <c r="G66" s="120">
        <f t="shared" si="14"/>
        <v>0</v>
      </c>
      <c r="H66" s="11"/>
    </row>
    <row r="67" spans="1:8" ht="18" thickBot="1" x14ac:dyDescent="0.35">
      <c r="A67" s="121">
        <f t="shared" si="13"/>
        <v>9.0599999999999987</v>
      </c>
      <c r="B67" s="122" t="s">
        <v>35</v>
      </c>
      <c r="C67" s="123">
        <v>0.1</v>
      </c>
      <c r="D67" s="124" t="s">
        <v>28</v>
      </c>
      <c r="E67" s="125"/>
      <c r="F67" s="126"/>
      <c r="G67" s="127">
        <f t="shared" si="14"/>
        <v>0</v>
      </c>
      <c r="H67" s="11"/>
    </row>
    <row r="68" spans="1:8" ht="18" thickBot="1" x14ac:dyDescent="0.35">
      <c r="A68" s="128"/>
      <c r="B68" s="3"/>
      <c r="C68" s="129"/>
      <c r="D68" s="51"/>
      <c r="E68" s="130"/>
      <c r="F68" s="131"/>
      <c r="G68" s="2"/>
      <c r="H68" s="11"/>
    </row>
    <row r="69" spans="1:8" ht="17.25" thickBot="1" x14ac:dyDescent="0.35">
      <c r="A69" s="149" t="s">
        <v>36</v>
      </c>
      <c r="B69" s="150"/>
      <c r="C69" s="150"/>
      <c r="D69" s="150"/>
      <c r="E69" s="150" t="s">
        <v>37</v>
      </c>
      <c r="F69" s="150"/>
      <c r="G69" s="34">
        <f>SUM(G59,G61)</f>
        <v>0</v>
      </c>
      <c r="H69" s="11"/>
    </row>
    <row r="70" spans="1:8" ht="19.5" x14ac:dyDescent="0.45">
      <c r="A70" s="50"/>
      <c r="B70" s="3"/>
      <c r="C70" s="2"/>
      <c r="D70" s="51"/>
      <c r="E70" s="151" t="s">
        <v>38</v>
      </c>
      <c r="F70" s="152"/>
      <c r="G70" s="79">
        <f>G62*0.18</f>
        <v>0</v>
      </c>
      <c r="H70" s="11"/>
    </row>
    <row r="71" spans="1:8" ht="17.25" thickBot="1" x14ac:dyDescent="0.35">
      <c r="A71" s="80"/>
      <c r="B71" s="81"/>
      <c r="C71" s="6"/>
      <c r="D71" s="65"/>
      <c r="E71" s="153" t="s">
        <v>12</v>
      </c>
      <c r="F71" s="154"/>
      <c r="G71" s="82">
        <f>SUM(G69:G70)</f>
        <v>0</v>
      </c>
      <c r="H71" s="11"/>
    </row>
    <row r="72" spans="1:8" x14ac:dyDescent="0.3">
      <c r="A72" s="48"/>
      <c r="B72" s="9"/>
      <c r="C72" s="10"/>
      <c r="D72" s="12"/>
      <c r="E72" s="13"/>
      <c r="F72" s="13"/>
      <c r="G72" s="14"/>
      <c r="H72" s="11"/>
    </row>
    <row r="73" spans="1:8" x14ac:dyDescent="0.3">
      <c r="A73" s="48"/>
      <c r="B73" s="9"/>
      <c r="C73" s="10"/>
      <c r="D73" s="12"/>
      <c r="E73" s="13"/>
      <c r="F73" s="13"/>
      <c r="G73" s="14"/>
      <c r="H73" s="11"/>
    </row>
    <row r="74" spans="1:8" ht="18.75" x14ac:dyDescent="0.3">
      <c r="A74" s="157"/>
      <c r="B74" s="157"/>
      <c r="C74" s="157"/>
      <c r="D74" s="157"/>
      <c r="E74" s="157"/>
      <c r="F74" s="157"/>
      <c r="G74" s="157"/>
    </row>
    <row r="75" spans="1:8" x14ac:dyDescent="0.3">
      <c r="A75" s="132"/>
      <c r="B75" s="133"/>
      <c r="C75" s="134"/>
      <c r="D75" s="135"/>
      <c r="E75" s="136"/>
      <c r="F75" s="137"/>
      <c r="G75" s="52"/>
    </row>
    <row r="76" spans="1:8" ht="15" customHeight="1" x14ac:dyDescent="0.3">
      <c r="A76" s="138"/>
      <c r="B76" s="133"/>
      <c r="C76" s="139"/>
      <c r="D76" s="139"/>
      <c r="E76" s="52"/>
      <c r="F76" s="52"/>
      <c r="G76" s="52"/>
    </row>
    <row r="77" spans="1:8" ht="18.75" x14ac:dyDescent="0.3">
      <c r="A77" s="158"/>
      <c r="B77" s="158"/>
      <c r="C77" s="158"/>
      <c r="D77" s="158"/>
      <c r="E77" s="158"/>
      <c r="F77" s="158"/>
      <c r="G77" s="158"/>
    </row>
    <row r="78" spans="1:8" ht="18.75" x14ac:dyDescent="0.3">
      <c r="A78" s="159"/>
      <c r="B78" s="159"/>
      <c r="C78" s="159"/>
      <c r="D78" s="159"/>
      <c r="E78" s="159"/>
      <c r="F78" s="159"/>
      <c r="G78" s="159"/>
    </row>
    <row r="79" spans="1:8" ht="17.25" customHeight="1" x14ac:dyDescent="0.3">
      <c r="A79" s="155"/>
      <c r="B79" s="155"/>
      <c r="C79" s="155"/>
      <c r="D79" s="155"/>
      <c r="E79" s="155"/>
      <c r="F79" s="155"/>
      <c r="G79" s="155"/>
    </row>
    <row r="81" spans="1:7" ht="17.25" x14ac:dyDescent="0.3">
      <c r="A81" s="50"/>
      <c r="B81" s="3"/>
      <c r="C81" s="2"/>
      <c r="D81" s="51"/>
      <c r="E81" s="2"/>
      <c r="F81" s="2"/>
      <c r="G81" s="2"/>
    </row>
    <row r="82" spans="1:7" ht="17.25" x14ac:dyDescent="0.3">
      <c r="A82" s="50"/>
      <c r="B82" s="3"/>
      <c r="C82" s="2"/>
      <c r="D82" s="51"/>
      <c r="E82" s="2"/>
      <c r="F82" s="2"/>
      <c r="G82" s="2"/>
    </row>
    <row r="83" spans="1:7" ht="17.25" x14ac:dyDescent="0.3">
      <c r="A83" s="50"/>
      <c r="B83" s="3"/>
      <c r="C83" s="2"/>
      <c r="D83" s="51"/>
      <c r="E83" s="2"/>
      <c r="F83" s="2"/>
      <c r="G83" s="2"/>
    </row>
    <row r="84" spans="1:7" ht="17.25" x14ac:dyDescent="0.3">
      <c r="A84" s="50"/>
      <c r="B84" s="3"/>
      <c r="C84" s="2"/>
      <c r="D84" s="51"/>
      <c r="E84" s="2"/>
      <c r="F84" s="2"/>
      <c r="G84" s="2"/>
    </row>
    <row r="85" spans="1:7" x14ac:dyDescent="0.3">
      <c r="A85" s="160"/>
      <c r="B85" s="160"/>
      <c r="C85" s="160"/>
      <c r="D85" s="160"/>
      <c r="E85" s="160"/>
      <c r="F85" s="160"/>
      <c r="G85" s="160"/>
    </row>
    <row r="86" spans="1:7" ht="17.25" x14ac:dyDescent="0.3">
      <c r="A86" s="156"/>
      <c r="B86" s="156"/>
      <c r="C86" s="156"/>
      <c r="D86" s="156"/>
      <c r="E86" s="156"/>
      <c r="F86" s="156"/>
      <c r="G86" s="156"/>
    </row>
  </sheetData>
  <mergeCells count="14">
    <mergeCell ref="E60:F60"/>
    <mergeCell ref="A2:G2"/>
    <mergeCell ref="A3:G3"/>
    <mergeCell ref="E59:F59"/>
    <mergeCell ref="B26:F26"/>
    <mergeCell ref="A69:F69"/>
    <mergeCell ref="E70:F70"/>
    <mergeCell ref="E71:F71"/>
    <mergeCell ref="A79:G79"/>
    <mergeCell ref="A86:G86"/>
    <mergeCell ref="A74:G74"/>
    <mergeCell ref="A77:G77"/>
    <mergeCell ref="A78:G78"/>
    <mergeCell ref="A85:G85"/>
  </mergeCells>
  <printOptions horizontalCentered="1"/>
  <pageMargins left="0.70866141732283472" right="0.70866141732283472" top="0.56000000000000005" bottom="1.42" header="0.31496062992125984" footer="1.08"/>
  <pageSetup scale="62" fitToHeight="0" orientation="portrait" r:id="rId1"/>
  <rowBreaks count="2" manualBreakCount="2">
    <brk id="27" max="6" man="1"/>
    <brk id="40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1E04F-F6B1-4BD0-9BD5-9B24D074A4AF}">
  <dimension ref="A1:H15"/>
  <sheetViews>
    <sheetView workbookViewId="0">
      <selection activeCell="B17" sqref="B17"/>
    </sheetView>
  </sheetViews>
  <sheetFormatPr baseColWidth="10" defaultRowHeight="15" x14ac:dyDescent="0.25"/>
  <cols>
    <col min="1" max="1" width="7" customWidth="1"/>
    <col min="2" max="2" width="62.85546875" customWidth="1"/>
    <col min="4" max="4" width="10" customWidth="1"/>
    <col min="5" max="5" width="21.5703125" customWidth="1"/>
    <col min="6" max="6" width="21.42578125" customWidth="1"/>
    <col min="7" max="7" width="21.5703125" customWidth="1"/>
  </cols>
  <sheetData>
    <row r="1" spans="1:8" ht="20.25" x14ac:dyDescent="0.3">
      <c r="A1" s="166" t="s">
        <v>3</v>
      </c>
      <c r="B1" s="166"/>
      <c r="C1" s="166"/>
      <c r="D1" s="166"/>
      <c r="E1" s="166"/>
      <c r="F1" s="166"/>
      <c r="G1" s="166"/>
      <c r="H1" s="52"/>
    </row>
    <row r="2" spans="1:8" ht="21" thickBot="1" x14ac:dyDescent="0.35">
      <c r="A2" s="166" t="s">
        <v>15</v>
      </c>
      <c r="B2" s="166"/>
      <c r="C2" s="166"/>
      <c r="D2" s="166"/>
      <c r="E2" s="166"/>
      <c r="F2" s="166"/>
      <c r="G2" s="166"/>
      <c r="H2" s="52"/>
    </row>
    <row r="3" spans="1:8" ht="29.25" thickBot="1" x14ac:dyDescent="0.3">
      <c r="A3" s="27" t="s">
        <v>2</v>
      </c>
      <c r="B3" s="28" t="s">
        <v>4</v>
      </c>
      <c r="C3" s="27" t="s">
        <v>5</v>
      </c>
      <c r="D3" s="27" t="s">
        <v>6</v>
      </c>
      <c r="E3" s="29" t="s">
        <v>7</v>
      </c>
      <c r="F3" s="29" t="s">
        <v>8</v>
      </c>
      <c r="G3" s="27" t="s">
        <v>9</v>
      </c>
      <c r="H3" s="52"/>
    </row>
    <row r="4" spans="1:8" ht="18" thickBot="1" x14ac:dyDescent="0.35">
      <c r="A4" s="41">
        <v>1</v>
      </c>
      <c r="B4" s="32" t="s">
        <v>13</v>
      </c>
      <c r="C4" s="32"/>
      <c r="D4" s="33"/>
      <c r="E4" s="32"/>
      <c r="F4" s="40"/>
      <c r="G4" s="34" t="e">
        <f>SUM(F5:F5)</f>
        <v>#REF!</v>
      </c>
      <c r="H4" s="52"/>
    </row>
    <row r="5" spans="1:8" ht="138" x14ac:dyDescent="0.3">
      <c r="A5" s="44">
        <f>A4+0.01</f>
        <v>1.01</v>
      </c>
      <c r="B5" s="46" t="s">
        <v>16</v>
      </c>
      <c r="C5" s="35">
        <v>30</v>
      </c>
      <c r="D5" s="36" t="s">
        <v>1</v>
      </c>
      <c r="E5" s="37" t="e">
        <f>Presupuesto!#REF!</f>
        <v>#REF!</v>
      </c>
      <c r="F5" s="37" t="e">
        <f t="shared" ref="F5" si="0">+C5*E5</f>
        <v>#REF!</v>
      </c>
      <c r="G5" s="2" t="s">
        <v>10</v>
      </c>
      <c r="H5" s="52"/>
    </row>
    <row r="6" spans="1:8" ht="18" thickBot="1" x14ac:dyDescent="0.35">
      <c r="A6" s="42"/>
      <c r="B6" s="3"/>
      <c r="C6" s="4"/>
      <c r="D6" s="51"/>
      <c r="E6" s="5"/>
      <c r="F6" s="5"/>
      <c r="G6" s="2"/>
      <c r="H6" s="52"/>
    </row>
    <row r="7" spans="1:8" ht="18" thickBot="1" x14ac:dyDescent="0.35">
      <c r="A7" s="41">
        <v>2</v>
      </c>
      <c r="B7" s="32" t="s">
        <v>13</v>
      </c>
      <c r="C7" s="32"/>
      <c r="D7" s="33"/>
      <c r="E7" s="32"/>
      <c r="F7" s="40"/>
      <c r="G7" s="34" t="e">
        <f>SUM(F8:F8)</f>
        <v>#REF!</v>
      </c>
      <c r="H7" s="52"/>
    </row>
    <row r="8" spans="1:8" ht="69" x14ac:dyDescent="0.3">
      <c r="A8" s="38">
        <f>A7+0.01</f>
        <v>2.0099999999999998</v>
      </c>
      <c r="B8" s="46" t="s">
        <v>17</v>
      </c>
      <c r="C8" s="39">
        <v>3</v>
      </c>
      <c r="D8" s="30" t="s">
        <v>1</v>
      </c>
      <c r="E8" s="31" t="e">
        <f>Presupuesto!#REF!</f>
        <v>#REF!</v>
      </c>
      <c r="F8" s="31" t="e">
        <f t="shared" ref="F8" si="1">+C8*E8</f>
        <v>#REF!</v>
      </c>
      <c r="G8" s="8" t="s">
        <v>10</v>
      </c>
      <c r="H8" s="52"/>
    </row>
    <row r="9" spans="1:8" x14ac:dyDescent="0.25">
      <c r="A9" s="52"/>
      <c r="B9" s="52"/>
      <c r="C9" s="52"/>
      <c r="D9" s="52"/>
      <c r="E9" s="52"/>
      <c r="F9" s="52"/>
      <c r="G9" s="52"/>
      <c r="H9" s="52"/>
    </row>
    <row r="10" spans="1:8" x14ac:dyDescent="0.25">
      <c r="A10" s="52"/>
      <c r="B10" s="52"/>
      <c r="C10" s="52"/>
      <c r="D10" s="52"/>
      <c r="E10" s="52"/>
      <c r="F10" s="52"/>
      <c r="G10" s="52"/>
      <c r="H10" s="52"/>
    </row>
    <row r="11" spans="1:8" x14ac:dyDescent="0.25">
      <c r="A11" s="52"/>
      <c r="B11" s="52"/>
      <c r="C11" s="52"/>
      <c r="D11" s="52"/>
      <c r="E11" s="52"/>
      <c r="F11" s="52"/>
      <c r="G11" s="52"/>
      <c r="H11" s="52"/>
    </row>
    <row r="12" spans="1:8" x14ac:dyDescent="0.25">
      <c r="A12" s="52"/>
      <c r="B12" s="52"/>
      <c r="C12" s="52"/>
      <c r="D12" s="52"/>
      <c r="E12" s="52"/>
      <c r="F12" s="52"/>
      <c r="G12" s="52"/>
      <c r="H12" s="52"/>
    </row>
    <row r="13" spans="1:8" x14ac:dyDescent="0.25">
      <c r="A13" s="52"/>
      <c r="B13" s="52"/>
      <c r="C13" s="52"/>
      <c r="D13" s="52"/>
      <c r="E13" s="52"/>
      <c r="F13" s="52"/>
      <c r="G13" s="52"/>
      <c r="H13" s="52"/>
    </row>
    <row r="14" spans="1:8" x14ac:dyDescent="0.25">
      <c r="A14" s="52"/>
      <c r="B14" s="52"/>
      <c r="C14" s="52"/>
      <c r="D14" s="52"/>
      <c r="E14" s="52"/>
      <c r="F14" s="52"/>
      <c r="G14" s="52"/>
      <c r="H14" s="52"/>
    </row>
    <row r="15" spans="1:8" x14ac:dyDescent="0.25">
      <c r="A15" s="52"/>
      <c r="B15" s="52"/>
      <c r="C15" s="52"/>
      <c r="D15" s="52"/>
      <c r="E15" s="52"/>
      <c r="F15" s="52"/>
      <c r="G15" s="52"/>
      <c r="H15" s="52"/>
    </row>
  </sheetData>
  <mergeCells count="2">
    <mergeCell ref="A1:G1"/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</vt:lpstr>
      <vt:lpstr>Hoja1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Giovanni Puello Archetti</dc:creator>
  <cp:lastModifiedBy>Marializ Alexandra Casado Feliz</cp:lastModifiedBy>
  <cp:lastPrinted>2026-07-06T18:55:29Z</cp:lastPrinted>
  <dcterms:created xsi:type="dcterms:W3CDTF">2021-06-17T13:09:53Z</dcterms:created>
  <dcterms:modified xsi:type="dcterms:W3CDTF">2026-09-17T14:48:10Z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2025-05-14T17:48:08Z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a4c26202-6f32-4027-9047-b6530dd0d972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