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G:\My Drive\1 - VABEL Group\1 - Proyectos\250904_Edificio Oficinas Institucionales MINERD\05_trabajo\LICITACION ENTREGADA\"/>
    </mc:Choice>
  </mc:AlternateContent>
  <xr:revisionPtr revIDLastSave="0" documentId="8_{F71717EB-7C9E-47BC-A0F2-9491CABC68BA}" xr6:coauthVersionLast="47" xr6:coauthVersionMax="47" xr10:uidLastSave="{00000000-0000-0000-0000-000000000000}"/>
  <bookViews>
    <workbookView xWindow="-108" yWindow="-108" windowWidth="23256" windowHeight="12456" tabRatio="955" xr2:uid="{B3450A66-6441-48E5-8D11-6D722F30CFA0}"/>
  </bookViews>
  <sheets>
    <sheet name="TERM MINERD" sheetId="44" r:id="rId1"/>
  </sheets>
  <definedNames>
    <definedName name="_xlnm._FilterDatabase" localSheetId="0" hidden="1">'TERM MINERD'!$B$13:$H$1797</definedName>
    <definedName name="_Key1" hidden="1">#REF!</definedName>
    <definedName name="_Key2" hidden="1">#REF!</definedName>
    <definedName name="_Order1" hidden="1">255</definedName>
    <definedName name="_Order2" hidden="1">255</definedName>
    <definedName name="_Regression_Int" hidden="1">1</definedName>
    <definedName name="_Sort" hidden="1">#REF!</definedName>
    <definedName name="DEDE" hidden="1">#REF!</definedName>
    <definedName name="DEDE2" hidden="1">#REF!</definedName>
    <definedName name="DEDE3" hidden="1">#REF!</definedName>
    <definedName name="DEDE5" hidden="1">#REF!</definedName>
    <definedName name="DEDE6" hidden="1">#REF!</definedName>
    <definedName name="DEDE7" hidden="1">#REF!</definedName>
    <definedName name="FF" hidden="1">#REF!</definedName>
    <definedName name="GFGFF" hidden="1">#REF!</definedName>
    <definedName name="GFSG" hidden="1">#REF!</definedName>
    <definedName name="_xlnm.Print_Area" localSheetId="0">'TERM MINERD'!$A$1:$G$1821</definedName>
    <definedName name="_xlnm.Print_Titles" localSheetId="0">'TERM MINERD'!$1:$13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7" i="44" l="1"/>
  <c r="G18" i="44"/>
  <c r="G19" i="44"/>
  <c r="G20" i="44"/>
  <c r="G21" i="44"/>
  <c r="G22" i="44"/>
  <c r="G23" i="44"/>
  <c r="G24" i="44"/>
  <c r="G25" i="44"/>
  <c r="G26" i="44"/>
  <c r="G27" i="44"/>
  <c r="G28" i="44"/>
  <c r="G29" i="44"/>
  <c r="G30" i="44"/>
  <c r="G31" i="44"/>
  <c r="G32" i="44"/>
  <c r="G33" i="44"/>
  <c r="G34" i="44"/>
  <c r="G1795" i="44"/>
  <c r="G1794" i="44"/>
  <c r="G1793" i="44"/>
  <c r="G1792" i="44"/>
  <c r="G1788" i="44"/>
  <c r="G1787" i="44"/>
  <c r="G1786" i="44"/>
  <c r="G1785" i="44"/>
  <c r="G1784" i="44"/>
  <c r="G1783" i="44"/>
  <c r="G1782" i="44"/>
  <c r="G1781" i="44"/>
  <c r="G1780" i="44"/>
  <c r="G1779" i="44"/>
  <c r="G1778" i="44"/>
  <c r="G1777" i="44"/>
  <c r="G1776" i="44"/>
  <c r="G1775" i="44"/>
  <c r="G1774" i="44"/>
  <c r="G1773" i="44"/>
  <c r="G1772" i="44"/>
  <c r="G1771" i="44"/>
  <c r="G1770" i="44"/>
  <c r="G1769" i="44"/>
  <c r="G1768" i="44"/>
  <c r="G1767" i="44"/>
  <c r="G1766" i="44"/>
  <c r="G1765" i="44"/>
  <c r="G1764" i="44"/>
  <c r="G1763" i="44"/>
  <c r="G1762" i="44"/>
  <c r="G1761" i="44"/>
  <c r="G1760" i="44"/>
  <c r="G1759" i="44"/>
  <c r="G1758" i="44"/>
  <c r="G1757" i="44"/>
  <c r="G1756" i="44"/>
  <c r="G1755" i="44"/>
  <c r="G1754" i="44"/>
  <c r="G1753" i="44"/>
  <c r="G1752" i="44"/>
  <c r="G1751" i="44"/>
  <c r="G1750" i="44"/>
  <c r="G1749" i="44"/>
  <c r="G1748" i="44"/>
  <c r="G1747" i="44"/>
  <c r="G1746" i="44"/>
  <c r="G1745" i="44"/>
  <c r="G1744" i="44"/>
  <c r="G1743" i="44"/>
  <c r="G1742" i="44"/>
  <c r="G1739" i="44"/>
  <c r="G1738" i="44"/>
  <c r="G1737" i="44"/>
  <c r="G1736" i="44"/>
  <c r="G1735" i="44"/>
  <c r="G1734" i="44"/>
  <c r="G1733" i="44"/>
  <c r="G1732" i="44"/>
  <c r="G1731" i="44"/>
  <c r="G1730" i="44"/>
  <c r="G1729" i="44"/>
  <c r="G1728" i="44"/>
  <c r="G1727" i="44"/>
  <c r="G1726" i="44"/>
  <c r="G1725" i="44"/>
  <c r="G1724" i="44"/>
  <c r="G1723" i="44"/>
  <c r="G1722" i="44"/>
  <c r="G1721" i="44"/>
  <c r="G1720" i="44"/>
  <c r="G1719" i="44"/>
  <c r="G1718" i="44"/>
  <c r="G1717" i="44"/>
  <c r="G1716" i="44"/>
  <c r="G1715" i="44"/>
  <c r="G1714" i="44"/>
  <c r="G1713" i="44"/>
  <c r="G1712" i="44"/>
  <c r="G1711" i="44"/>
  <c r="G1710" i="44"/>
  <c r="G1709" i="44"/>
  <c r="G1708" i="44"/>
  <c r="G1707" i="44"/>
  <c r="G1706" i="44"/>
  <c r="G1705" i="44"/>
  <c r="G1704" i="44"/>
  <c r="G1703" i="44"/>
  <c r="G1702" i="44"/>
  <c r="G1701" i="44"/>
  <c r="G1700" i="44"/>
  <c r="G1699" i="44"/>
  <c r="G1698" i="44"/>
  <c r="G1697" i="44"/>
  <c r="G1696" i="44"/>
  <c r="G1695" i="44"/>
  <c r="G1694" i="44"/>
  <c r="G1693" i="44"/>
  <c r="G1692" i="44"/>
  <c r="G1691" i="44"/>
  <c r="G1690" i="44"/>
  <c r="G1689" i="44"/>
  <c r="G1686" i="44"/>
  <c r="G1685" i="44"/>
  <c r="G1684" i="44"/>
  <c r="G1683" i="44"/>
  <c r="G1682" i="44"/>
  <c r="G1681" i="44"/>
  <c r="G1680" i="44"/>
  <c r="G1679" i="44"/>
  <c r="G1678" i="44"/>
  <c r="G1677" i="44"/>
  <c r="G1676" i="44"/>
  <c r="G1675" i="44"/>
  <c r="G1674" i="44"/>
  <c r="G1673" i="44"/>
  <c r="G1672" i="44"/>
  <c r="G1671" i="44"/>
  <c r="G1670" i="44"/>
  <c r="G1669" i="44"/>
  <c r="G1668" i="44"/>
  <c r="G1667" i="44"/>
  <c r="G1666" i="44"/>
  <c r="G1665" i="44"/>
  <c r="G1664" i="44"/>
  <c r="G1663" i="44"/>
  <c r="G1662" i="44"/>
  <c r="G1661" i="44"/>
  <c r="G1660" i="44"/>
  <c r="G1659" i="44"/>
  <c r="G1658" i="44"/>
  <c r="G1657" i="44"/>
  <c r="G1656" i="44"/>
  <c r="G1655" i="44"/>
  <c r="G1654" i="44"/>
  <c r="G1653" i="44"/>
  <c r="G1652" i="44"/>
  <c r="G1651" i="44"/>
  <c r="G1650" i="44"/>
  <c r="G1649" i="44"/>
  <c r="G1648" i="44"/>
  <c r="G1647" i="44"/>
  <c r="G1646" i="44"/>
  <c r="G1645" i="44"/>
  <c r="G1644" i="44"/>
  <c r="G1643" i="44"/>
  <c r="G1642" i="44"/>
  <c r="G1641" i="44"/>
  <c r="G1640" i="44"/>
  <c r="G1639" i="44"/>
  <c r="G1638" i="44"/>
  <c r="G1637" i="44"/>
  <c r="G1636" i="44"/>
  <c r="G1635" i="44"/>
  <c r="G1634" i="44"/>
  <c r="G1633" i="44"/>
  <c r="G1632" i="44"/>
  <c r="G1631" i="44"/>
  <c r="G1630" i="44"/>
  <c r="G1629" i="44"/>
  <c r="G1628" i="44"/>
  <c r="G1627" i="44"/>
  <c r="G1626" i="44"/>
  <c r="G1625" i="44"/>
  <c r="G1624" i="44"/>
  <c r="G1623" i="44"/>
  <c r="G1622" i="44"/>
  <c r="G1621" i="44"/>
  <c r="G1620" i="44"/>
  <c r="G1619" i="44"/>
  <c r="G1618" i="44"/>
  <c r="G1617" i="44"/>
  <c r="G1616" i="44"/>
  <c r="G1615" i="44"/>
  <c r="G1614" i="44"/>
  <c r="G1613" i="44"/>
  <c r="G1612" i="44"/>
  <c r="G1611" i="44"/>
  <c r="G1610" i="44"/>
  <c r="G1609" i="44"/>
  <c r="G1608" i="44"/>
  <c r="G1607" i="44"/>
  <c r="G1606" i="44"/>
  <c r="G1605" i="44"/>
  <c r="G1604" i="44"/>
  <c r="G1603" i="44"/>
  <c r="G1602" i="44"/>
  <c r="G1601" i="44"/>
  <c r="G1600" i="44"/>
  <c r="G1597" i="44"/>
  <c r="G1596" i="44"/>
  <c r="G1595" i="44"/>
  <c r="G1594" i="44"/>
  <c r="G1593" i="44"/>
  <c r="G1592" i="44"/>
  <c r="G1591" i="44"/>
  <c r="G1590" i="44"/>
  <c r="G1589" i="44"/>
  <c r="G1588" i="44"/>
  <c r="G1587" i="44"/>
  <c r="G1586" i="44"/>
  <c r="G1585" i="44"/>
  <c r="G1584" i="44"/>
  <c r="G1583" i="44"/>
  <c r="G1582" i="44"/>
  <c r="G1581" i="44"/>
  <c r="G1580" i="44"/>
  <c r="G1579" i="44"/>
  <c r="G1578" i="44"/>
  <c r="G1577" i="44"/>
  <c r="G1576" i="44"/>
  <c r="G1575" i="44"/>
  <c r="G1574" i="44"/>
  <c r="G1573" i="44"/>
  <c r="G1572" i="44"/>
  <c r="G1571" i="44"/>
  <c r="G1570" i="44"/>
  <c r="G1569" i="44"/>
  <c r="G1568" i="44"/>
  <c r="G1567" i="44"/>
  <c r="G1566" i="44"/>
  <c r="G1563" i="44"/>
  <c r="G1562" i="44"/>
  <c r="G1561" i="44"/>
  <c r="G1560" i="44"/>
  <c r="G1559" i="44"/>
  <c r="G1558" i="44"/>
  <c r="G1557" i="44"/>
  <c r="G1556" i="44"/>
  <c r="G1555" i="44"/>
  <c r="G1554" i="44"/>
  <c r="G1553" i="44"/>
  <c r="G1552" i="44"/>
  <c r="G1551" i="44"/>
  <c r="G1550" i="44"/>
  <c r="G1549" i="44"/>
  <c r="G1548" i="44"/>
  <c r="G1547" i="44"/>
  <c r="G1546" i="44"/>
  <c r="G1545" i="44"/>
  <c r="G1544" i="44"/>
  <c r="G1543" i="44"/>
  <c r="G1542" i="44"/>
  <c r="G1541" i="44"/>
  <c r="G1540" i="44"/>
  <c r="G1539" i="44"/>
  <c r="G1538" i="44"/>
  <c r="G1537" i="44"/>
  <c r="G1536" i="44"/>
  <c r="G1535" i="44"/>
  <c r="G1534" i="44"/>
  <c r="G1533" i="44"/>
  <c r="G1532" i="44"/>
  <c r="G1531" i="44"/>
  <c r="G1530" i="44"/>
  <c r="G1529" i="44"/>
  <c r="G1528" i="44"/>
  <c r="G1523" i="44"/>
  <c r="G1522" i="44"/>
  <c r="G1521" i="44"/>
  <c r="G1520" i="44"/>
  <c r="G1519" i="44"/>
  <c r="G1518" i="44"/>
  <c r="G1517" i="44"/>
  <c r="G1516" i="44"/>
  <c r="G1515" i="44"/>
  <c r="G1514" i="44"/>
  <c r="G1513" i="44"/>
  <c r="G1512" i="44"/>
  <c r="G1511" i="44"/>
  <c r="G1510" i="44"/>
  <c r="G1509" i="44"/>
  <c r="G1508" i="44"/>
  <c r="G1507" i="44"/>
  <c r="G1506" i="44"/>
  <c r="G1505" i="44"/>
  <c r="G1504" i="44"/>
  <c r="G1503" i="44"/>
  <c r="G1502" i="44"/>
  <c r="G1499" i="44"/>
  <c r="G1498" i="44"/>
  <c r="G1497" i="44"/>
  <c r="G1494" i="44"/>
  <c r="G1493" i="44"/>
  <c r="G1490" i="44"/>
  <c r="G1489" i="44"/>
  <c r="G1488" i="44"/>
  <c r="G1487" i="44"/>
  <c r="G1486" i="44"/>
  <c r="G1485" i="44"/>
  <c r="G1484" i="44"/>
  <c r="G1483" i="44"/>
  <c r="G1482" i="44"/>
  <c r="G1481" i="44"/>
  <c r="G1480" i="44"/>
  <c r="G1479" i="44"/>
  <c r="G1478" i="44"/>
  <c r="G1477" i="44"/>
  <c r="G1476" i="44"/>
  <c r="G1475" i="44"/>
  <c r="G1474" i="44"/>
  <c r="G1473" i="44"/>
  <c r="G1472" i="44"/>
  <c r="G1471" i="44"/>
  <c r="G1470" i="44"/>
  <c r="G1469" i="44"/>
  <c r="G1468" i="44"/>
  <c r="G1467" i="44"/>
  <c r="G1466" i="44"/>
  <c r="G1465" i="44"/>
  <c r="G1464" i="44"/>
  <c r="G1463" i="44"/>
  <c r="G1462" i="44"/>
  <c r="G1461" i="44"/>
  <c r="G1460" i="44"/>
  <c r="G1459" i="44"/>
  <c r="G1458" i="44"/>
  <c r="G1457" i="44"/>
  <c r="G1456" i="44"/>
  <c r="G1455" i="44"/>
  <c r="G1454" i="44"/>
  <c r="G1453" i="44"/>
  <c r="G1452" i="44"/>
  <c r="G1451" i="44"/>
  <c r="G1450" i="44"/>
  <c r="G1449" i="44"/>
  <c r="G1448" i="44"/>
  <c r="G1447" i="44"/>
  <c r="G1446" i="44"/>
  <c r="G1445" i="44"/>
  <c r="G1444" i="44"/>
  <c r="G1441" i="44"/>
  <c r="G1440" i="44"/>
  <c r="G1439" i="44"/>
  <c r="G1438" i="44"/>
  <c r="G1437" i="44"/>
  <c r="G1436" i="44"/>
  <c r="G1435" i="44"/>
  <c r="G1434" i="44"/>
  <c r="G1433" i="44"/>
  <c r="G1432" i="44"/>
  <c r="G1430" i="44"/>
  <c r="G1429" i="44"/>
  <c r="G1428" i="44"/>
  <c r="G1427" i="44"/>
  <c r="G1426" i="44"/>
  <c r="G1425" i="44"/>
  <c r="G1424" i="44"/>
  <c r="G1423" i="44"/>
  <c r="G1422" i="44"/>
  <c r="G1419" i="44"/>
  <c r="G1418" i="44"/>
  <c r="G1417" i="44"/>
  <c r="G1416" i="44"/>
  <c r="G1415" i="44"/>
  <c r="G1414" i="44"/>
  <c r="G1411" i="44"/>
  <c r="G1410" i="44"/>
  <c r="G1409" i="44"/>
  <c r="G1408" i="44"/>
  <c r="G1407" i="44"/>
  <c r="G1406" i="44"/>
  <c r="G1405" i="44"/>
  <c r="G1404" i="44"/>
  <c r="G1400" i="44"/>
  <c r="G1399" i="44"/>
  <c r="G1398" i="44"/>
  <c r="G1397" i="44"/>
  <c r="G1396" i="44"/>
  <c r="G1395" i="44"/>
  <c r="G1394" i="44"/>
  <c r="G1393" i="44"/>
  <c r="G1392" i="44"/>
  <c r="G1391" i="44"/>
  <c r="G1390" i="44"/>
  <c r="G1389" i="44"/>
  <c r="G1388" i="44"/>
  <c r="G1387" i="44"/>
  <c r="G1386" i="44"/>
  <c r="G1385" i="44"/>
  <c r="G1384" i="44"/>
  <c r="G1383" i="44"/>
  <c r="G1382" i="44"/>
  <c r="G1381" i="44"/>
  <c r="G1380" i="44"/>
  <c r="G1379" i="44"/>
  <c r="G1378" i="44"/>
  <c r="G1377" i="44"/>
  <c r="G1376" i="44"/>
  <c r="G1375" i="44"/>
  <c r="G1374" i="44"/>
  <c r="G1373" i="44"/>
  <c r="G1372" i="44"/>
  <c r="G1371" i="44"/>
  <c r="G1370" i="44"/>
  <c r="G1369" i="44"/>
  <c r="G1368" i="44"/>
  <c r="G1367" i="44"/>
  <c r="G1366" i="44"/>
  <c r="G1365" i="44"/>
  <c r="G1364" i="44"/>
  <c r="G1363" i="44"/>
  <c r="G1362" i="44"/>
  <c r="G1361" i="44"/>
  <c r="G1360" i="44"/>
  <c r="G1359" i="44"/>
  <c r="G1356" i="44"/>
  <c r="G1355" i="44"/>
  <c r="G1354" i="44"/>
  <c r="G1353" i="44"/>
  <c r="G1352" i="44"/>
  <c r="G1351" i="44"/>
  <c r="G1350" i="44"/>
  <c r="G1349" i="44"/>
  <c r="G1348" i="44"/>
  <c r="G1347" i="44"/>
  <c r="G1346" i="44"/>
  <c r="G1345" i="44"/>
  <c r="G1344" i="44"/>
  <c r="G1343" i="44"/>
  <c r="G1342" i="44"/>
  <c r="G1341" i="44"/>
  <c r="G1340" i="44"/>
  <c r="G1339" i="44"/>
  <c r="G1338" i="44"/>
  <c r="G1337" i="44"/>
  <c r="G1336" i="44"/>
  <c r="G1335" i="44"/>
  <c r="G1334" i="44"/>
  <c r="G1333" i="44"/>
  <c r="G1332" i="44"/>
  <c r="G1331" i="44"/>
  <c r="G1330" i="44"/>
  <c r="G1329" i="44"/>
  <c r="G1328" i="44"/>
  <c r="G1327" i="44"/>
  <c r="G1326" i="44"/>
  <c r="G1325" i="44"/>
  <c r="G1324" i="44"/>
  <c r="G1323" i="44"/>
  <c r="G1322" i="44"/>
  <c r="G1321" i="44"/>
  <c r="G1320" i="44"/>
  <c r="G1319" i="44"/>
  <c r="G1318" i="44"/>
  <c r="G1317" i="44"/>
  <c r="G1316" i="44"/>
  <c r="G1315" i="44"/>
  <c r="G1314" i="44"/>
  <c r="G1311" i="44"/>
  <c r="G1310" i="44"/>
  <c r="G1309" i="44"/>
  <c r="G1308" i="44"/>
  <c r="G1307" i="44"/>
  <c r="G1306" i="44"/>
  <c r="G1305" i="44"/>
  <c r="G1304" i="44"/>
  <c r="G1303" i="44"/>
  <c r="G1302" i="44"/>
  <c r="G1301" i="44"/>
  <c r="G1300" i="44"/>
  <c r="G1299" i="44"/>
  <c r="G1298" i="44"/>
  <c r="G1297" i="44"/>
  <c r="G1296" i="44"/>
  <c r="G1295" i="44"/>
  <c r="G1294" i="44"/>
  <c r="G1293" i="44"/>
  <c r="G1292" i="44"/>
  <c r="G1291" i="44"/>
  <c r="G1290" i="44"/>
  <c r="G1289" i="44"/>
  <c r="G1288" i="44"/>
  <c r="G1287" i="44"/>
  <c r="G1286" i="44"/>
  <c r="G1285" i="44"/>
  <c r="G1284" i="44"/>
  <c r="G1283" i="44"/>
  <c r="G1282" i="44"/>
  <c r="G1281" i="44"/>
  <c r="G1280" i="44"/>
  <c r="G1279" i="44"/>
  <c r="G1278" i="44"/>
  <c r="G1277" i="44"/>
  <c r="G1276" i="44"/>
  <c r="G1275" i="44"/>
  <c r="G1274" i="44"/>
  <c r="G1273" i="44"/>
  <c r="G1272" i="44"/>
  <c r="G1271" i="44"/>
  <c r="G1270" i="44"/>
  <c r="G1269" i="44"/>
  <c r="G1268" i="44"/>
  <c r="G1267" i="44"/>
  <c r="G1264" i="44"/>
  <c r="G1263" i="44"/>
  <c r="G1262" i="44"/>
  <c r="G1261" i="44"/>
  <c r="G1260" i="44"/>
  <c r="G1259" i="44"/>
  <c r="G1258" i="44"/>
  <c r="G1257" i="44"/>
  <c r="G1256" i="44"/>
  <c r="G1255" i="44"/>
  <c r="G1254" i="44"/>
  <c r="G1253" i="44"/>
  <c r="G1252" i="44"/>
  <c r="G1251" i="44"/>
  <c r="G1250" i="44"/>
  <c r="G1249" i="44"/>
  <c r="G1248" i="44"/>
  <c r="G1247" i="44"/>
  <c r="G1246" i="44"/>
  <c r="G1245" i="44"/>
  <c r="G1244" i="44"/>
  <c r="G1243" i="44"/>
  <c r="G1242" i="44"/>
  <c r="G1241" i="44"/>
  <c r="G1240" i="44"/>
  <c r="G1239" i="44"/>
  <c r="G1238" i="44"/>
  <c r="G1237" i="44"/>
  <c r="G1236" i="44"/>
  <c r="G1235" i="44"/>
  <c r="G1234" i="44"/>
  <c r="G1233" i="44"/>
  <c r="G1232" i="44"/>
  <c r="G1231" i="44"/>
  <c r="G1230" i="44"/>
  <c r="G1229" i="44"/>
  <c r="G1228" i="44"/>
  <c r="G1227" i="44"/>
  <c r="G1226" i="44"/>
  <c r="G1225" i="44"/>
  <c r="G1224" i="44"/>
  <c r="G1223" i="44"/>
  <c r="G1222" i="44"/>
  <c r="G1219" i="44"/>
  <c r="G1218" i="44"/>
  <c r="G1217" i="44"/>
  <c r="G1216" i="44"/>
  <c r="G1215" i="44"/>
  <c r="G1214" i="44"/>
  <c r="G1213" i="44"/>
  <c r="G1212" i="44"/>
  <c r="G1211" i="44"/>
  <c r="G1210" i="44"/>
  <c r="G1209" i="44"/>
  <c r="G1208" i="44"/>
  <c r="G1207" i="44"/>
  <c r="G1206" i="44"/>
  <c r="G1205" i="44"/>
  <c r="G1204" i="44"/>
  <c r="G1203" i="44"/>
  <c r="G1202" i="44"/>
  <c r="G1201" i="44"/>
  <c r="G1200" i="44"/>
  <c r="G1199" i="44"/>
  <c r="G1198" i="44"/>
  <c r="G1197" i="44"/>
  <c r="G1196" i="44"/>
  <c r="G1195" i="44"/>
  <c r="G1194" i="44"/>
  <c r="G1193" i="44"/>
  <c r="G1192" i="44"/>
  <c r="G1191" i="44"/>
  <c r="G1190" i="44"/>
  <c r="G1189" i="44"/>
  <c r="G1188" i="44"/>
  <c r="G1187" i="44"/>
  <c r="G1186" i="44"/>
  <c r="G1185" i="44"/>
  <c r="G1184" i="44"/>
  <c r="G1183" i="44"/>
  <c r="G1182" i="44"/>
  <c r="G1181" i="44"/>
  <c r="G1180" i="44"/>
  <c r="G1179" i="44"/>
  <c r="G1178" i="44"/>
  <c r="G1175" i="44"/>
  <c r="G1174" i="44"/>
  <c r="G1173" i="44"/>
  <c r="G1172" i="44"/>
  <c r="G1171" i="44"/>
  <c r="G1170" i="44"/>
  <c r="G1169" i="44"/>
  <c r="G1168" i="44"/>
  <c r="G1167" i="44"/>
  <c r="G1166" i="44"/>
  <c r="G1165" i="44"/>
  <c r="G1164" i="44"/>
  <c r="G1163" i="44"/>
  <c r="G1162" i="44"/>
  <c r="G1161" i="44"/>
  <c r="G1160" i="44"/>
  <c r="G1159" i="44"/>
  <c r="G1158" i="44"/>
  <c r="G1157" i="44"/>
  <c r="G1156" i="44"/>
  <c r="G1155" i="44"/>
  <c r="G1154" i="44"/>
  <c r="G1153" i="44"/>
  <c r="G1152" i="44"/>
  <c r="G1151" i="44"/>
  <c r="G1150" i="44"/>
  <c r="G1149" i="44"/>
  <c r="G1148" i="44"/>
  <c r="G1147" i="44"/>
  <c r="G1146" i="44"/>
  <c r="G1145" i="44"/>
  <c r="G1144" i="44"/>
  <c r="G1143" i="44"/>
  <c r="G1142" i="44"/>
  <c r="G1141" i="44"/>
  <c r="G1140" i="44"/>
  <c r="G1139" i="44"/>
  <c r="G1138" i="44"/>
  <c r="G1137" i="44"/>
  <c r="G1136" i="44"/>
  <c r="G1133" i="44"/>
  <c r="G1132" i="44"/>
  <c r="G1131" i="44"/>
  <c r="G1130" i="44"/>
  <c r="G1129" i="44"/>
  <c r="G1128" i="44"/>
  <c r="G1127" i="44"/>
  <c r="G1126" i="44"/>
  <c r="G1125" i="44"/>
  <c r="G1124" i="44"/>
  <c r="G1123" i="44"/>
  <c r="G1122" i="44"/>
  <c r="G1121" i="44"/>
  <c r="G1120" i="44"/>
  <c r="G1119" i="44"/>
  <c r="G1118" i="44"/>
  <c r="G1117" i="44"/>
  <c r="G1116" i="44"/>
  <c r="G1115" i="44"/>
  <c r="G1114" i="44"/>
  <c r="G1113" i="44"/>
  <c r="G1112" i="44"/>
  <c r="G1111" i="44"/>
  <c r="G1110" i="44"/>
  <c r="G1109" i="44"/>
  <c r="G1108" i="44"/>
  <c r="G1107" i="44"/>
  <c r="G1106" i="44"/>
  <c r="G1105" i="44"/>
  <c r="G1104" i="44"/>
  <c r="G1103" i="44"/>
  <c r="G1102" i="44"/>
  <c r="G1101" i="44"/>
  <c r="G1100" i="44"/>
  <c r="G1092" i="44"/>
  <c r="G1091" i="44" s="1"/>
  <c r="G1090" i="44"/>
  <c r="G1089" i="44"/>
  <c r="G1088" i="44"/>
  <c r="G1087" i="44"/>
  <c r="G1086" i="44"/>
  <c r="D1086" i="44"/>
  <c r="G1085" i="44"/>
  <c r="G1084" i="44"/>
  <c r="G1083" i="44"/>
  <c r="G1082" i="44"/>
  <c r="D1082" i="44"/>
  <c r="G1081" i="44"/>
  <c r="G1080" i="44"/>
  <c r="G1078" i="44"/>
  <c r="G1077" i="44"/>
  <c r="G1076" i="44"/>
  <c r="G1075" i="44"/>
  <c r="G1074" i="44"/>
  <c r="G1073" i="44"/>
  <c r="G1072" i="44"/>
  <c r="G1068" i="44"/>
  <c r="D1067" i="44"/>
  <c r="G1067" i="44" s="1"/>
  <c r="D1066" i="44"/>
  <c r="G1066" i="44" s="1"/>
  <c r="G1064" i="44"/>
  <c r="G1063" i="44"/>
  <c r="G1062" i="44"/>
  <c r="G1061" i="44"/>
  <c r="G1060" i="44"/>
  <c r="G1059" i="44"/>
  <c r="G1058" i="44"/>
  <c r="G1057" i="44"/>
  <c r="G1056" i="44"/>
  <c r="G1055" i="44"/>
  <c r="G1054" i="44"/>
  <c r="D1053" i="44"/>
  <c r="G1053" i="44" s="1"/>
  <c r="G1051" i="44"/>
  <c r="G1050" i="44"/>
  <c r="G1049" i="44"/>
  <c r="G1048" i="44"/>
  <c r="G1047" i="44"/>
  <c r="G1046" i="44"/>
  <c r="G1045" i="44"/>
  <c r="G1041" i="44"/>
  <c r="G1040" i="44" s="1"/>
  <c r="D1041" i="44"/>
  <c r="G1039" i="44"/>
  <c r="G1038" i="44"/>
  <c r="G1037" i="44"/>
  <c r="G1036" i="44"/>
  <c r="G1035" i="44"/>
  <c r="G1034" i="44"/>
  <c r="D1033" i="44"/>
  <c r="G1033" i="44" s="1"/>
  <c r="G1032" i="44"/>
  <c r="G1031" i="44"/>
  <c r="G1030" i="44"/>
  <c r="G1029" i="44"/>
  <c r="G1028" i="44"/>
  <c r="G1027" i="44"/>
  <c r="D1026" i="44"/>
  <c r="G1026" i="44" s="1"/>
  <c r="G1025" i="44"/>
  <c r="D1025" i="44"/>
  <c r="G1023" i="44"/>
  <c r="G1022" i="44"/>
  <c r="G1021" i="44"/>
  <c r="G1020" i="44"/>
  <c r="G1019" i="44"/>
  <c r="G1018" i="44"/>
  <c r="G1017" i="44"/>
  <c r="G1016" i="44"/>
  <c r="G1015" i="44"/>
  <c r="G1014" i="44"/>
  <c r="G1013" i="44"/>
  <c r="G1012" i="44"/>
  <c r="G1011" i="44"/>
  <c r="G1010" i="44"/>
  <c r="G1009" i="44"/>
  <c r="G1008" i="44"/>
  <c r="G1003" i="44"/>
  <c r="D1002" i="44"/>
  <c r="G1002" i="44" s="1"/>
  <c r="D1001" i="44"/>
  <c r="G1001" i="44" s="1"/>
  <c r="G999" i="44"/>
  <c r="D999" i="44"/>
  <c r="G998" i="44"/>
  <c r="D997" i="44"/>
  <c r="G997" i="44" s="1"/>
  <c r="G996" i="44"/>
  <c r="G995" i="44"/>
  <c r="G993" i="44"/>
  <c r="G992" i="44"/>
  <c r="G991" i="44"/>
  <c r="G990" i="44"/>
  <c r="G989" i="44"/>
  <c r="G988" i="44"/>
  <c r="G987" i="44"/>
  <c r="G986" i="44"/>
  <c r="G985" i="44"/>
  <c r="G984" i="44"/>
  <c r="G983" i="44"/>
  <c r="G982" i="44"/>
  <c r="G981" i="44"/>
  <c r="G975" i="44"/>
  <c r="G974" i="44"/>
  <c r="G973" i="44"/>
  <c r="G972" i="44"/>
  <c r="G971" i="44"/>
  <c r="G970" i="44"/>
  <c r="G969" i="44"/>
  <c r="G968" i="44"/>
  <c r="G967" i="44"/>
  <c r="G966" i="44"/>
  <c r="G965" i="44"/>
  <c r="G964" i="44"/>
  <c r="G963" i="44"/>
  <c r="G962" i="44"/>
  <c r="G960" i="44"/>
  <c r="G959" i="44"/>
  <c r="G949" i="44"/>
  <c r="G948" i="44"/>
  <c r="G947" i="44"/>
  <c r="G946" i="44"/>
  <c r="G945" i="44"/>
  <c r="G944" i="44"/>
  <c r="G943" i="44"/>
  <c r="G942" i="44"/>
  <c r="G941" i="44"/>
  <c r="G940" i="44"/>
  <c r="G939" i="44"/>
  <c r="G938" i="44"/>
  <c r="G937" i="44"/>
  <c r="G936" i="44"/>
  <c r="G935" i="44"/>
  <c r="G934" i="44"/>
  <c r="G933" i="44"/>
  <c r="G932" i="44"/>
  <c r="G931" i="44"/>
  <c r="G929" i="44"/>
  <c r="G928" i="44"/>
  <c r="G927" i="44"/>
  <c r="D926" i="44"/>
  <c r="G926" i="44" s="1"/>
  <c r="G925" i="44"/>
  <c r="G924" i="44"/>
  <c r="G923" i="44"/>
  <c r="G922" i="44"/>
  <c r="G921" i="44"/>
  <c r="G920" i="44"/>
  <c r="G919" i="44"/>
  <c r="G918" i="44"/>
  <c r="G917" i="44"/>
  <c r="G916" i="44"/>
  <c r="G915" i="44"/>
  <c r="G914" i="44"/>
  <c r="G913" i="44"/>
  <c r="G912" i="44"/>
  <c r="D911" i="44"/>
  <c r="G911" i="44" s="1"/>
  <c r="G910" i="44"/>
  <c r="G909" i="44"/>
  <c r="D908" i="44"/>
  <c r="G908" i="44" s="1"/>
  <c r="G907" i="44"/>
  <c r="G906" i="44"/>
  <c r="G905" i="44"/>
  <c r="G904" i="44"/>
  <c r="G903" i="44"/>
  <c r="G902" i="44"/>
  <c r="G901" i="44"/>
  <c r="G900" i="44"/>
  <c r="G899" i="44"/>
  <c r="G897" i="44"/>
  <c r="G896" i="44"/>
  <c r="G895" i="44"/>
  <c r="G894" i="44"/>
  <c r="G893" i="44"/>
  <c r="G892" i="44"/>
  <c r="G891" i="44"/>
  <c r="G890" i="44"/>
  <c r="G889" i="44"/>
  <c r="G888" i="44"/>
  <c r="G887" i="44"/>
  <c r="G886" i="44"/>
  <c r="G885" i="44"/>
  <c r="G884" i="44"/>
  <c r="G883" i="44"/>
  <c r="G882" i="44"/>
  <c r="G881" i="44"/>
  <c r="G880" i="44"/>
  <c r="G879" i="44"/>
  <c r="G878" i="44"/>
  <c r="G877" i="44"/>
  <c r="G876" i="44"/>
  <c r="G875" i="44"/>
  <c r="G874" i="44"/>
  <c r="G873" i="44"/>
  <c r="G872" i="44"/>
  <c r="G871" i="44"/>
  <c r="G870" i="44"/>
  <c r="G869" i="44"/>
  <c r="G868" i="44"/>
  <c r="G867" i="44"/>
  <c r="G866" i="44"/>
  <c r="G865" i="44"/>
  <c r="G864" i="44"/>
  <c r="G863" i="44"/>
  <c r="G862" i="44"/>
  <c r="G861" i="44"/>
  <c r="G860" i="44"/>
  <c r="G859" i="44"/>
  <c r="G858" i="44"/>
  <c r="G857" i="44"/>
  <c r="G856" i="44"/>
  <c r="G855" i="44"/>
  <c r="G854" i="44"/>
  <c r="G853" i="44"/>
  <c r="G852" i="44"/>
  <c r="G851" i="44"/>
  <c r="G850" i="44"/>
  <c r="G849" i="44"/>
  <c r="G848" i="44"/>
  <c r="G847" i="44"/>
  <c r="G846" i="44"/>
  <c r="G845" i="44"/>
  <c r="G844" i="44"/>
  <c r="G843" i="44"/>
  <c r="G842" i="44"/>
  <c r="G841" i="44"/>
  <c r="G840" i="44"/>
  <c r="G839" i="44"/>
  <c r="G838" i="44"/>
  <c r="G837" i="44"/>
  <c r="G836" i="44"/>
  <c r="G835" i="44"/>
  <c r="G834" i="44"/>
  <c r="G832" i="44"/>
  <c r="G831" i="44"/>
  <c r="G830" i="44"/>
  <c r="G829" i="44"/>
  <c r="D829" i="44"/>
  <c r="D828" i="44"/>
  <c r="G828" i="44" s="1"/>
  <c r="G827" i="44"/>
  <c r="G826" i="44"/>
  <c r="G825" i="44"/>
  <c r="G824" i="44"/>
  <c r="G823" i="44"/>
  <c r="G822" i="44"/>
  <c r="G821" i="44"/>
  <c r="G820" i="44"/>
  <c r="G819" i="44"/>
  <c r="G818" i="44"/>
  <c r="G817" i="44"/>
  <c r="G816" i="44"/>
  <c r="G815" i="44"/>
  <c r="G814" i="44"/>
  <c r="G813" i="44"/>
  <c r="G812" i="44"/>
  <c r="G811" i="44"/>
  <c r="G810" i="44"/>
  <c r="G809" i="44"/>
  <c r="G808" i="44"/>
  <c r="D808" i="44"/>
  <c r="G807" i="44"/>
  <c r="G806" i="44"/>
  <c r="G805" i="44"/>
  <c r="G804" i="44"/>
  <c r="G803" i="44"/>
  <c r="G802" i="44"/>
  <c r="G801" i="44"/>
  <c r="G800" i="44"/>
  <c r="G799" i="44"/>
  <c r="G798" i="44"/>
  <c r="D798" i="44"/>
  <c r="G797" i="44"/>
  <c r="D797" i="44"/>
  <c r="G796" i="44"/>
  <c r="G795" i="44"/>
  <c r="G794" i="44"/>
  <c r="G793" i="44"/>
  <c r="G792" i="44"/>
  <c r="G791" i="44"/>
  <c r="G790" i="44"/>
  <c r="G789" i="44"/>
  <c r="G788" i="44"/>
  <c r="G787" i="44"/>
  <c r="D787" i="44"/>
  <c r="G786" i="44"/>
  <c r="G785" i="44"/>
  <c r="G783" i="44"/>
  <c r="G782" i="44"/>
  <c r="D782" i="44"/>
  <c r="G781" i="44"/>
  <c r="D781" i="44"/>
  <c r="D780" i="44"/>
  <c r="G780" i="44" s="1"/>
  <c r="D779" i="44"/>
  <c r="G779" i="44" s="1"/>
  <c r="G778" i="44"/>
  <c r="G777" i="44"/>
  <c r="D777" i="44"/>
  <c r="G776" i="44"/>
  <c r="G775" i="44"/>
  <c r="G774" i="44"/>
  <c r="D773" i="44"/>
  <c r="G773" i="44" s="1"/>
  <c r="G772" i="44"/>
  <c r="G771" i="44"/>
  <c r="G770" i="44"/>
  <c r="G769" i="44"/>
  <c r="G768" i="44"/>
  <c r="G767" i="44"/>
  <c r="G766" i="44"/>
  <c r="G765" i="44"/>
  <c r="G764" i="44"/>
  <c r="G763" i="44"/>
  <c r="G762" i="44"/>
  <c r="G761" i="44"/>
  <c r="D760" i="44"/>
  <c r="G760" i="44" s="1"/>
  <c r="D759" i="44"/>
  <c r="G759" i="44" s="1"/>
  <c r="G758" i="44"/>
  <c r="D758" i="44"/>
  <c r="G757" i="44"/>
  <c r="G756" i="44"/>
  <c r="D755" i="44"/>
  <c r="G755" i="44" s="1"/>
  <c r="G753" i="44"/>
  <c r="G752" i="44"/>
  <c r="G751" i="44"/>
  <c r="G750" i="44"/>
  <c r="G749" i="44"/>
  <c r="G748" i="44"/>
  <c r="G747" i="44"/>
  <c r="G746" i="44"/>
  <c r="G745" i="44"/>
  <c r="G744" i="44"/>
  <c r="G743" i="44"/>
  <c r="G742" i="44"/>
  <c r="G741" i="44"/>
  <c r="G740" i="44"/>
  <c r="G739" i="44"/>
  <c r="G738" i="44"/>
  <c r="G737" i="44"/>
  <c r="G736" i="44"/>
  <c r="G735" i="44"/>
  <c r="G734" i="44"/>
  <c r="G733" i="44"/>
  <c r="G732" i="44"/>
  <c r="G730" i="44"/>
  <c r="G729" i="44"/>
  <c r="G728" i="44"/>
  <c r="G727" i="44"/>
  <c r="G726" i="44"/>
  <c r="G725" i="44"/>
  <c r="G724" i="44"/>
  <c r="G723" i="44"/>
  <c r="G722" i="44"/>
  <c r="G721" i="44"/>
  <c r="G720" i="44"/>
  <c r="G719" i="44"/>
  <c r="G718" i="44"/>
  <c r="G717" i="44"/>
  <c r="G716" i="44"/>
  <c r="G715" i="44"/>
  <c r="G714" i="44"/>
  <c r="G713" i="44"/>
  <c r="G712" i="44"/>
  <c r="G711" i="44"/>
  <c r="G710" i="44"/>
  <c r="G709" i="44"/>
  <c r="G708" i="44"/>
  <c r="G707" i="44"/>
  <c r="G706" i="44"/>
  <c r="G705" i="44"/>
  <c r="G704" i="44"/>
  <c r="G703" i="44"/>
  <c r="G702" i="44"/>
  <c r="G701" i="44"/>
  <c r="G700" i="44"/>
  <c r="G699" i="44"/>
  <c r="G698" i="44"/>
  <c r="G697" i="44"/>
  <c r="G696" i="44"/>
  <c r="G695" i="44"/>
  <c r="G694" i="44"/>
  <c r="G693" i="44"/>
  <c r="G692" i="44"/>
  <c r="G691" i="44"/>
  <c r="G690" i="44"/>
  <c r="G688" i="44"/>
  <c r="G687" i="44"/>
  <c r="G686" i="44"/>
  <c r="G685" i="44"/>
  <c r="D685" i="44"/>
  <c r="G684" i="44"/>
  <c r="D684" i="44"/>
  <c r="D683" i="44"/>
  <c r="G683" i="44" s="1"/>
  <c r="D682" i="44"/>
  <c r="G682" i="44" s="1"/>
  <c r="G681" i="44"/>
  <c r="D681" i="44"/>
  <c r="G680" i="44"/>
  <c r="D680" i="44"/>
  <c r="G679" i="44"/>
  <c r="G678" i="44"/>
  <c r="G677" i="44"/>
  <c r="G676" i="44"/>
  <c r="G675" i="44"/>
  <c r="G674" i="44"/>
  <c r="G673" i="44"/>
  <c r="G672" i="44"/>
  <c r="G671" i="44"/>
  <c r="G670" i="44"/>
  <c r="G669" i="44"/>
  <c r="G668" i="44"/>
  <c r="G667" i="44"/>
  <c r="G666" i="44"/>
  <c r="G665" i="44"/>
  <c r="G664" i="44"/>
  <c r="G663" i="44"/>
  <c r="G662" i="44"/>
  <c r="D661" i="44"/>
  <c r="G661" i="44" s="1"/>
  <c r="G660" i="44"/>
  <c r="G659" i="44"/>
  <c r="G653" i="44"/>
  <c r="G652" i="44"/>
  <c r="G651" i="44"/>
  <c r="G650" i="44"/>
  <c r="G649" i="44"/>
  <c r="G648" i="44"/>
  <c r="G646" i="44"/>
  <c r="G645" i="44"/>
  <c r="G644" i="44"/>
  <c r="G643" i="44"/>
  <c r="G642" i="44"/>
  <c r="G641" i="44"/>
  <c r="G640" i="44"/>
  <c r="G639" i="44"/>
  <c r="G638" i="44"/>
  <c r="G637" i="44"/>
  <c r="G636" i="44"/>
  <c r="G635" i="44"/>
  <c r="G634" i="44"/>
  <c r="G633" i="44"/>
  <c r="G632" i="44"/>
  <c r="G630" i="44"/>
  <c r="G629" i="44"/>
  <c r="G628" i="44"/>
  <c r="G627" i="44"/>
  <c r="G626" i="44"/>
  <c r="G625" i="44"/>
  <c r="G624" i="44"/>
  <c r="G623" i="44"/>
  <c r="G622" i="44"/>
  <c r="G621" i="44"/>
  <c r="G620" i="44"/>
  <c r="G619" i="44"/>
  <c r="G618" i="44"/>
  <c r="G617" i="44"/>
  <c r="G616" i="44"/>
  <c r="G615" i="44"/>
  <c r="G614" i="44"/>
  <c r="G613" i="44"/>
  <c r="G611" i="44"/>
  <c r="G610" i="44"/>
  <c r="G609" i="44"/>
  <c r="G608" i="44"/>
  <c r="G607" i="44"/>
  <c r="G606" i="44"/>
  <c r="G605" i="44"/>
  <c r="G604" i="44"/>
  <c r="G603" i="44"/>
  <c r="G602" i="44"/>
  <c r="G601" i="44"/>
  <c r="G600" i="44"/>
  <c r="G599" i="44"/>
  <c r="G598" i="44"/>
  <c r="G597" i="44"/>
  <c r="G596" i="44"/>
  <c r="G595" i="44"/>
  <c r="G594" i="44"/>
  <c r="G593" i="44"/>
  <c r="G592" i="44"/>
  <c r="G591" i="44"/>
  <c r="G590" i="44"/>
  <c r="G589" i="44"/>
  <c r="G588" i="44"/>
  <c r="G587" i="44"/>
  <c r="G586" i="44"/>
  <c r="G585" i="44"/>
  <c r="G584" i="44"/>
  <c r="G583" i="44"/>
  <c r="G582" i="44"/>
  <c r="G581" i="44"/>
  <c r="G580" i="44"/>
  <c r="G579" i="44"/>
  <c r="G578" i="44"/>
  <c r="G577" i="44"/>
  <c r="G576" i="44"/>
  <c r="G575" i="44"/>
  <c r="G574" i="44"/>
  <c r="G573" i="44"/>
  <c r="G572" i="44"/>
  <c r="G571" i="44"/>
  <c r="G569" i="44"/>
  <c r="G568" i="44"/>
  <c r="G567" i="44"/>
  <c r="G566" i="44"/>
  <c r="G565" i="44"/>
  <c r="G564" i="44"/>
  <c r="G563" i="44"/>
  <c r="G562" i="44"/>
  <c r="G561" i="44"/>
  <c r="G560" i="44"/>
  <c r="G559" i="44"/>
  <c r="G558" i="44"/>
  <c r="G557" i="44"/>
  <c r="G556" i="44"/>
  <c r="G555" i="44"/>
  <c r="G554" i="44"/>
  <c r="G553" i="44"/>
  <c r="G551" i="44"/>
  <c r="G550" i="44"/>
  <c r="G549" i="44"/>
  <c r="G548" i="44"/>
  <c r="G547" i="44"/>
  <c r="G546" i="44"/>
  <c r="G545" i="44"/>
  <c r="G544" i="44"/>
  <c r="G543" i="44"/>
  <c r="G542" i="44"/>
  <c r="G541" i="44"/>
  <c r="G540" i="44"/>
  <c r="G539" i="44"/>
  <c r="G537" i="44"/>
  <c r="G536" i="44" s="1"/>
  <c r="G535" i="44"/>
  <c r="G534" i="44" s="1"/>
  <c r="G533" i="44"/>
  <c r="D532" i="44"/>
  <c r="G532" i="44" s="1"/>
  <c r="G530" i="44"/>
  <c r="G529" i="44"/>
  <c r="G528" i="44"/>
  <c r="G527" i="44"/>
  <c r="G526" i="44"/>
  <c r="G525" i="44"/>
  <c r="G524" i="44"/>
  <c r="G523" i="44"/>
  <c r="G522" i="44"/>
  <c r="G521" i="44"/>
  <c r="G520" i="44"/>
  <c r="G519" i="44"/>
  <c r="G518" i="44"/>
  <c r="G517" i="44"/>
  <c r="G516" i="44"/>
  <c r="G515" i="44"/>
  <c r="G514" i="44"/>
  <c r="G513" i="44"/>
  <c r="G512" i="44"/>
  <c r="G511" i="44"/>
  <c r="G510" i="44"/>
  <c r="G509" i="44"/>
  <c r="G508" i="44"/>
  <c r="G507" i="44"/>
  <c r="G506" i="44"/>
  <c r="G505" i="44"/>
  <c r="G504" i="44"/>
  <c r="G503" i="44"/>
  <c r="G502" i="44"/>
  <c r="G501" i="44"/>
  <c r="G500" i="44"/>
  <c r="G499" i="44"/>
  <c r="G498" i="44"/>
  <c r="G497" i="44"/>
  <c r="G496" i="44"/>
  <c r="G495" i="44"/>
  <c r="G494" i="44"/>
  <c r="G493" i="44"/>
  <c r="G492" i="44"/>
  <c r="G491" i="44"/>
  <c r="G490" i="44"/>
  <c r="G489" i="44"/>
  <c r="G488" i="44"/>
  <c r="G487" i="44"/>
  <c r="G486" i="44"/>
  <c r="G485" i="44"/>
  <c r="G483" i="44"/>
  <c r="G482" i="44"/>
  <c r="G481" i="44"/>
  <c r="G480" i="44"/>
  <c r="G479" i="44"/>
  <c r="G478" i="44"/>
  <c r="G477" i="44"/>
  <c r="G476" i="44"/>
  <c r="G475" i="44"/>
  <c r="G474" i="44"/>
  <c r="G473" i="44"/>
  <c r="G472" i="44"/>
  <c r="G471" i="44"/>
  <c r="G470" i="44"/>
  <c r="G469" i="44"/>
  <c r="G468" i="44"/>
  <c r="G467" i="44"/>
  <c r="G466" i="44"/>
  <c r="G465" i="44"/>
  <c r="G464" i="44"/>
  <c r="G463" i="44"/>
  <c r="G462" i="44"/>
  <c r="G461" i="44"/>
  <c r="G460" i="44"/>
  <c r="G459" i="44"/>
  <c r="G458" i="44"/>
  <c r="G457" i="44"/>
  <c r="G456" i="44"/>
  <c r="G455" i="44"/>
  <c r="G454" i="44"/>
  <c r="G453" i="44"/>
  <c r="G452" i="44"/>
  <c r="G451" i="44"/>
  <c r="G450" i="44"/>
  <c r="G449" i="44"/>
  <c r="G448" i="44"/>
  <c r="G447" i="44"/>
  <c r="G446" i="44"/>
  <c r="G445" i="44"/>
  <c r="G444" i="44"/>
  <c r="G443" i="44"/>
  <c r="G442" i="44"/>
  <c r="G441" i="44"/>
  <c r="G440" i="44"/>
  <c r="G439" i="44"/>
  <c r="G438" i="44"/>
  <c r="G437" i="44"/>
  <c r="G436" i="44"/>
  <c r="G435" i="44"/>
  <c r="G434" i="44"/>
  <c r="G433" i="44"/>
  <c r="D433" i="44"/>
  <c r="G432" i="44"/>
  <c r="D432" i="44"/>
  <c r="D431" i="44"/>
  <c r="G431" i="44" s="1"/>
  <c r="D430" i="44"/>
  <c r="G430" i="44" s="1"/>
  <c r="D429" i="44"/>
  <c r="G429" i="44" s="1"/>
  <c r="G428" i="44"/>
  <c r="D428" i="44"/>
  <c r="D427" i="44"/>
  <c r="G427" i="44" s="1"/>
  <c r="D426" i="44"/>
  <c r="G426" i="44" s="1"/>
  <c r="G424" i="44"/>
  <c r="G423" i="44"/>
  <c r="G422" i="44"/>
  <c r="G421" i="44"/>
  <c r="G420" i="44"/>
  <c r="G419" i="44"/>
  <c r="G418" i="44"/>
  <c r="G417" i="44"/>
  <c r="G416" i="44"/>
  <c r="G415" i="44"/>
  <c r="G414" i="44"/>
  <c r="G413" i="44"/>
  <c r="G412" i="44"/>
  <c r="G411" i="44"/>
  <c r="G410" i="44"/>
  <c r="G409" i="44"/>
  <c r="G408" i="44"/>
  <c r="G407" i="44"/>
  <c r="G406" i="44"/>
  <c r="G405" i="44"/>
  <c r="G404" i="44"/>
  <c r="G403" i="44"/>
  <c r="G402" i="44"/>
  <c r="G401" i="44"/>
  <c r="G400" i="44"/>
  <c r="G399" i="44"/>
  <c r="G398" i="44"/>
  <c r="G397" i="44"/>
  <c r="G396" i="44"/>
  <c r="G395" i="44"/>
  <c r="G394" i="44"/>
  <c r="G393" i="44"/>
  <c r="G392" i="44"/>
  <c r="G391" i="44"/>
  <c r="G390" i="44"/>
  <c r="G389" i="44"/>
  <c r="G388" i="44"/>
  <c r="G387" i="44"/>
  <c r="G386" i="44"/>
  <c r="G385" i="44"/>
  <c r="G384" i="44"/>
  <c r="G383" i="44"/>
  <c r="G382" i="44"/>
  <c r="G381" i="44"/>
  <c r="G380" i="44"/>
  <c r="G379" i="44"/>
  <c r="G378" i="44"/>
  <c r="G377" i="44"/>
  <c r="G376" i="44"/>
  <c r="G375" i="44"/>
  <c r="G374" i="44"/>
  <c r="G373" i="44"/>
  <c r="G372" i="44"/>
  <c r="G371" i="44"/>
  <c r="G370" i="44"/>
  <c r="G369" i="44"/>
  <c r="G368" i="44"/>
  <c r="G367" i="44"/>
  <c r="G366" i="44"/>
  <c r="G365" i="44"/>
  <c r="G364" i="44"/>
  <c r="G363" i="44"/>
  <c r="G362" i="44"/>
  <c r="G361" i="44"/>
  <c r="G360" i="44"/>
  <c r="G359" i="44"/>
  <c r="G358" i="44"/>
  <c r="G357" i="44"/>
  <c r="G356" i="44"/>
  <c r="G355" i="44"/>
  <c r="G354" i="44"/>
  <c r="G353" i="44"/>
  <c r="G352" i="44"/>
  <c r="G351" i="44"/>
  <c r="G350" i="44"/>
  <c r="G349" i="44"/>
  <c r="G348" i="44"/>
  <c r="G347" i="44"/>
  <c r="G346" i="44"/>
  <c r="G345" i="44"/>
  <c r="D338" i="44"/>
  <c r="G338" i="44" s="1"/>
  <c r="D337" i="44"/>
  <c r="G337" i="44" s="1"/>
  <c r="D336" i="44"/>
  <c r="G336" i="44" s="1"/>
  <c r="G334" i="44"/>
  <c r="D334" i="44"/>
  <c r="G333" i="44"/>
  <c r="G331" i="44"/>
  <c r="D331" i="44"/>
  <c r="D330" i="44"/>
  <c r="G330" i="44" s="1"/>
  <c r="G325" i="44"/>
  <c r="D325" i="44"/>
  <c r="G324" i="44"/>
  <c r="D324" i="44"/>
  <c r="G323" i="44"/>
  <c r="G322" i="44"/>
  <c r="D322" i="44"/>
  <c r="G321" i="44"/>
  <c r="G320" i="44"/>
  <c r="D320" i="44"/>
  <c r="G319" i="44"/>
  <c r="G318" i="44"/>
  <c r="G317" i="44"/>
  <c r="G316" i="44"/>
  <c r="D315" i="44"/>
  <c r="G315" i="44" s="1"/>
  <c r="G314" i="44"/>
  <c r="G313" i="44"/>
  <c r="G311" i="44"/>
  <c r="G310" i="44"/>
  <c r="G309" i="44"/>
  <c r="D309" i="44"/>
  <c r="D308" i="44"/>
  <c r="G308" i="44" s="1"/>
  <c r="D307" i="44"/>
  <c r="G307" i="44" s="1"/>
  <c r="G306" i="44"/>
  <c r="D306" i="44"/>
  <c r="D304" i="44"/>
  <c r="G304" i="44" s="1"/>
  <c r="G303" i="44"/>
  <c r="G302" i="44"/>
  <c r="G301" i="44"/>
  <c r="D301" i="44"/>
  <c r="G299" i="44"/>
  <c r="D299" i="44"/>
  <c r="D298" i="44"/>
  <c r="G298" i="44" s="1"/>
  <c r="D297" i="44"/>
  <c r="G297" i="44" s="1"/>
  <c r="G296" i="44"/>
  <c r="D296" i="44"/>
  <c r="G295" i="44"/>
  <c r="G294" i="44"/>
  <c r="G293" i="44"/>
  <c r="G291" i="44"/>
  <c r="G290" i="44"/>
  <c r="G289" i="44"/>
  <c r="G288" i="44"/>
  <c r="G287" i="44"/>
  <c r="G286" i="44"/>
  <c r="G285" i="44"/>
  <c r="G284" i="44"/>
  <c r="G283" i="44"/>
  <c r="G282" i="44"/>
  <c r="G281" i="44"/>
  <c r="G280" i="44"/>
  <c r="G278" i="44"/>
  <c r="G277" i="44" s="1"/>
  <c r="G276" i="44"/>
  <c r="G275" i="44"/>
  <c r="G274" i="44"/>
  <c r="G273" i="44"/>
  <c r="G272" i="44"/>
  <c r="G271" i="44"/>
  <c r="G270" i="44"/>
  <c r="G268" i="44"/>
  <c r="D268" i="44"/>
  <c r="D267" i="44"/>
  <c r="G267" i="44" s="1"/>
  <c r="D266" i="44"/>
  <c r="G266" i="44" s="1"/>
  <c r="D264" i="44"/>
  <c r="G264" i="44" s="1"/>
  <c r="D263" i="44"/>
  <c r="G263" i="44" s="1"/>
  <c r="D262" i="44"/>
  <c r="G262" i="44" s="1"/>
  <c r="G261" i="44"/>
  <c r="D261" i="44"/>
  <c r="G258" i="44"/>
  <c r="D258" i="44"/>
  <c r="D257" i="44"/>
  <c r="D259" i="44" s="1"/>
  <c r="G259" i="44" s="1"/>
  <c r="G256" i="44"/>
  <c r="D255" i="44"/>
  <c r="G255" i="44" s="1"/>
  <c r="D254" i="44"/>
  <c r="G254" i="44" s="1"/>
  <c r="D253" i="44"/>
  <c r="G253" i="44" s="1"/>
  <c r="G252" i="44"/>
  <c r="D252" i="44"/>
  <c r="D251" i="44"/>
  <c r="G251" i="44" s="1"/>
  <c r="D250" i="44"/>
  <c r="G250" i="44" s="1"/>
  <c r="G249" i="44"/>
  <c r="D249" i="44"/>
  <c r="G248" i="44"/>
  <c r="D248" i="44"/>
  <c r="D247" i="44"/>
  <c r="G247" i="44" s="1"/>
  <c r="D246" i="44"/>
  <c r="G246" i="44" s="1"/>
  <c r="D245" i="44"/>
  <c r="G245" i="44" s="1"/>
  <c r="G242" i="44"/>
  <c r="D241" i="44"/>
  <c r="D243" i="44" s="1"/>
  <c r="G243" i="44" s="1"/>
  <c r="G240" i="44"/>
  <c r="D239" i="44"/>
  <c r="G239" i="44" s="1"/>
  <c r="D238" i="44"/>
  <c r="G238" i="44" s="1"/>
  <c r="G237" i="44"/>
  <c r="D237" i="44"/>
  <c r="G236" i="44"/>
  <c r="D236" i="44"/>
  <c r="G235" i="44"/>
  <c r="D235" i="44"/>
  <c r="G234" i="44"/>
  <c r="D233" i="44"/>
  <c r="G233" i="44" s="1"/>
  <c r="D231" i="44"/>
  <c r="G231" i="44" s="1"/>
  <c r="D230" i="44"/>
  <c r="G230" i="44" s="1"/>
  <c r="D229" i="44"/>
  <c r="G229" i="44" s="1"/>
  <c r="G228" i="44"/>
  <c r="D227" i="44"/>
  <c r="G227" i="44" s="1"/>
  <c r="D226" i="44"/>
  <c r="G226" i="44" s="1"/>
  <c r="G225" i="44"/>
  <c r="G224" i="44"/>
  <c r="D224" i="44"/>
  <c r="D223" i="44"/>
  <c r="G223" i="44" s="1"/>
  <c r="G222" i="44"/>
  <c r="D220" i="44"/>
  <c r="G220" i="44" s="1"/>
  <c r="D219" i="44"/>
  <c r="G219" i="44" s="1"/>
  <c r="G218" i="44"/>
  <c r="D218" i="44"/>
  <c r="G217" i="44"/>
  <c r="D217" i="44"/>
  <c r="G216" i="44"/>
  <c r="D216" i="44"/>
  <c r="G215" i="44"/>
  <c r="D215" i="44"/>
  <c r="G214" i="44"/>
  <c r="D214" i="44"/>
  <c r="G213" i="44"/>
  <c r="D213" i="44"/>
  <c r="D212" i="44"/>
  <c r="G212" i="44" s="1"/>
  <c r="G210" i="44"/>
  <c r="G209" i="44"/>
  <c r="G208" i="44"/>
  <c r="G207" i="44"/>
  <c r="G202" i="44"/>
  <c r="G201" i="44"/>
  <c r="D201" i="44"/>
  <c r="G200" i="44"/>
  <c r="D199" i="44"/>
  <c r="G199" i="44" s="1"/>
  <c r="G198" i="44"/>
  <c r="D198" i="44"/>
  <c r="G197" i="44"/>
  <c r="D197" i="44"/>
  <c r="D196" i="44"/>
  <c r="G196" i="44" s="1"/>
  <c r="G195" i="44"/>
  <c r="G194" i="44"/>
  <c r="D194" i="44"/>
  <c r="G193" i="44"/>
  <c r="D193" i="44"/>
  <c r="G192" i="44"/>
  <c r="D192" i="44"/>
  <c r="G191" i="44"/>
  <c r="D191" i="44"/>
  <c r="G190" i="44"/>
  <c r="D190" i="44"/>
  <c r="D189" i="44"/>
  <c r="G189" i="44" s="1"/>
  <c r="D188" i="44"/>
  <c r="G188" i="44" s="1"/>
  <c r="G187" i="44"/>
  <c r="D187" i="44"/>
  <c r="G186" i="44"/>
  <c r="D186" i="44"/>
  <c r="G185" i="44"/>
  <c r="D185" i="44"/>
  <c r="G184" i="44"/>
  <c r="D184" i="44"/>
  <c r="G183" i="44"/>
  <c r="D183" i="44"/>
  <c r="G181" i="44"/>
  <c r="D181" i="44"/>
  <c r="G180" i="44"/>
  <c r="D180" i="44"/>
  <c r="D179" i="44"/>
  <c r="G179" i="44" s="1"/>
  <c r="D178" i="44"/>
  <c r="G178" i="44" s="1"/>
  <c r="D177" i="44"/>
  <c r="G177" i="44" s="1"/>
  <c r="G176" i="44"/>
  <c r="D176" i="44"/>
  <c r="D175" i="44"/>
  <c r="G175" i="44" s="1"/>
  <c r="D174" i="44"/>
  <c r="G174" i="44" s="1"/>
  <c r="G173" i="44"/>
  <c r="D173" i="44"/>
  <c r="G172" i="44"/>
  <c r="D172" i="44"/>
  <c r="D171" i="44"/>
  <c r="G171" i="44" s="1"/>
  <c r="D170" i="44"/>
  <c r="G170" i="44" s="1"/>
  <c r="D169" i="44"/>
  <c r="G169" i="44" s="1"/>
  <c r="G168" i="44"/>
  <c r="D168" i="44"/>
  <c r="D167" i="44"/>
  <c r="G167" i="44" s="1"/>
  <c r="G165" i="44"/>
  <c r="D165" i="44"/>
  <c r="D164" i="44"/>
  <c r="G164" i="44" s="1"/>
  <c r="D163" i="44"/>
  <c r="G163" i="44" s="1"/>
  <c r="G162" i="44"/>
  <c r="D162" i="44"/>
  <c r="G161" i="44"/>
  <c r="D161" i="44"/>
  <c r="G160" i="44"/>
  <c r="D160" i="44"/>
  <c r="G159" i="44"/>
  <c r="D159" i="44"/>
  <c r="G158" i="44"/>
  <c r="D158" i="44"/>
  <c r="G157" i="44"/>
  <c r="D157" i="44"/>
  <c r="D156" i="44"/>
  <c r="G156" i="44" s="1"/>
  <c r="D155" i="44"/>
  <c r="G155" i="44" s="1"/>
  <c r="G154" i="44"/>
  <c r="D154" i="44"/>
  <c r="G153" i="44"/>
  <c r="D153" i="44"/>
  <c r="G152" i="44"/>
  <c r="D152" i="44"/>
  <c r="G151" i="44"/>
  <c r="D151" i="44"/>
  <c r="G150" i="44"/>
  <c r="D150" i="44"/>
  <c r="G148" i="44"/>
  <c r="D148" i="44"/>
  <c r="G147" i="44"/>
  <c r="D147" i="44"/>
  <c r="D146" i="44"/>
  <c r="G146" i="44" s="1"/>
  <c r="D145" i="44"/>
  <c r="G145" i="44" s="1"/>
  <c r="D144" i="44"/>
  <c r="G144" i="44" s="1"/>
  <c r="G143" i="44"/>
  <c r="D143" i="44"/>
  <c r="D142" i="44"/>
  <c r="G142" i="44" s="1"/>
  <c r="D141" i="44"/>
  <c r="G141" i="44" s="1"/>
  <c r="G140" i="44"/>
  <c r="D140" i="44"/>
  <c r="G139" i="44"/>
  <c r="D139" i="44"/>
  <c r="D138" i="44"/>
  <c r="G138" i="44" s="1"/>
  <c r="D137" i="44"/>
  <c r="G137" i="44" s="1"/>
  <c r="D136" i="44"/>
  <c r="G136" i="44" s="1"/>
  <c r="G135" i="44"/>
  <c r="D135" i="44"/>
  <c r="D134" i="44"/>
  <c r="G134" i="44" s="1"/>
  <c r="G132" i="44"/>
  <c r="D132" i="44"/>
  <c r="D131" i="44"/>
  <c r="G131" i="44" s="1"/>
  <c r="D130" i="44"/>
  <c r="G130" i="44" s="1"/>
  <c r="G129" i="44"/>
  <c r="D129" i="44"/>
  <c r="G128" i="44"/>
  <c r="D128" i="44"/>
  <c r="G127" i="44"/>
  <c r="D127" i="44"/>
  <c r="G126" i="44"/>
  <c r="D126" i="44"/>
  <c r="G125" i="44"/>
  <c r="D125" i="44"/>
  <c r="G124" i="44"/>
  <c r="D124" i="44"/>
  <c r="D123" i="44"/>
  <c r="G123" i="44" s="1"/>
  <c r="D122" i="44"/>
  <c r="G122" i="44" s="1"/>
  <c r="G121" i="44"/>
  <c r="D121" i="44"/>
  <c r="G120" i="44"/>
  <c r="D120" i="44"/>
  <c r="G119" i="44"/>
  <c r="D119" i="44"/>
  <c r="G118" i="44"/>
  <c r="D118" i="44"/>
  <c r="D116" i="44"/>
  <c r="G116" i="44" s="1"/>
  <c r="G115" i="44"/>
  <c r="D115" i="44"/>
  <c r="G114" i="44"/>
  <c r="D114" i="44"/>
  <c r="D113" i="44"/>
  <c r="G113" i="44" s="1"/>
  <c r="D112" i="44"/>
  <c r="G112" i="44" s="1"/>
  <c r="D111" i="44"/>
  <c r="G111" i="44" s="1"/>
  <c r="G110" i="44"/>
  <c r="D110" i="44"/>
  <c r="D109" i="44"/>
  <c r="G109" i="44" s="1"/>
  <c r="D108" i="44"/>
  <c r="G108" i="44" s="1"/>
  <c r="G107" i="44"/>
  <c r="D107" i="44"/>
  <c r="G106" i="44"/>
  <c r="D106" i="44"/>
  <c r="D105" i="44"/>
  <c r="G105" i="44" s="1"/>
  <c r="D104" i="44"/>
  <c r="G104" i="44" s="1"/>
  <c r="D103" i="44"/>
  <c r="G103" i="44" s="1"/>
  <c r="G102" i="44"/>
  <c r="D102" i="44"/>
  <c r="G100" i="44"/>
  <c r="D100" i="44"/>
  <c r="G99" i="44"/>
  <c r="D99" i="44"/>
  <c r="D98" i="44"/>
  <c r="G98" i="44" s="1"/>
  <c r="G97" i="44"/>
  <c r="G96" i="44"/>
  <c r="G95" i="44"/>
  <c r="D95" i="44"/>
  <c r="G94" i="44"/>
  <c r="D94" i="44"/>
  <c r="G93" i="44"/>
  <c r="D93" i="44"/>
  <c r="G92" i="44"/>
  <c r="D92" i="44"/>
  <c r="G91" i="44"/>
  <c r="D91" i="44"/>
  <c r="G90" i="44"/>
  <c r="D90" i="44"/>
  <c r="D89" i="44"/>
  <c r="G89" i="44" s="1"/>
  <c r="D88" i="44"/>
  <c r="G88" i="44" s="1"/>
  <c r="G87" i="44"/>
  <c r="D87" i="44"/>
  <c r="G86" i="44"/>
  <c r="D86" i="44"/>
  <c r="G85" i="44"/>
  <c r="D85" i="44"/>
  <c r="G84" i="44"/>
  <c r="D84" i="44"/>
  <c r="G79" i="44"/>
  <c r="D79" i="44"/>
  <c r="G78" i="44"/>
  <c r="G77" i="44"/>
  <c r="D76" i="44"/>
  <c r="G76" i="44" s="1"/>
  <c r="G75" i="44"/>
  <c r="D75" i="44"/>
  <c r="G74" i="44"/>
  <c r="D74" i="44"/>
  <c r="G73" i="44"/>
  <c r="D73" i="44"/>
  <c r="G72" i="44"/>
  <c r="D72" i="44"/>
  <c r="G71" i="44"/>
  <c r="D71" i="44"/>
  <c r="G70" i="44"/>
  <c r="D70" i="44"/>
  <c r="D69" i="44"/>
  <c r="G69" i="44" s="1"/>
  <c r="D68" i="44"/>
  <c r="G68" i="44" s="1"/>
  <c r="G67" i="44"/>
  <c r="D67" i="44"/>
  <c r="G66" i="44"/>
  <c r="D66" i="44"/>
  <c r="G64" i="44"/>
  <c r="D64" i="44"/>
  <c r="G63" i="44"/>
  <c r="G62" i="44"/>
  <c r="D61" i="44"/>
  <c r="G61" i="44" s="1"/>
  <c r="G60" i="44"/>
  <c r="D60" i="44"/>
  <c r="G59" i="44"/>
  <c r="D59" i="44"/>
  <c r="D58" i="44"/>
  <c r="G58" i="44" s="1"/>
  <c r="D57" i="44"/>
  <c r="G57" i="44" s="1"/>
  <c r="D56" i="44"/>
  <c r="G56" i="44" s="1"/>
  <c r="G55" i="44"/>
  <c r="D55" i="44"/>
  <c r="D54" i="44"/>
  <c r="G54" i="44" s="1"/>
  <c r="D53" i="44"/>
  <c r="G53" i="44" s="1"/>
  <c r="G52" i="44"/>
  <c r="D51" i="44"/>
  <c r="G51" i="44" s="1"/>
  <c r="D49" i="44"/>
  <c r="G49" i="44" s="1"/>
  <c r="G48" i="44"/>
  <c r="G47" i="44"/>
  <c r="D46" i="44"/>
  <c r="G46" i="44" s="1"/>
  <c r="G45" i="44"/>
  <c r="D45" i="44"/>
  <c r="D44" i="44"/>
  <c r="G44" i="44" s="1"/>
  <c r="D43" i="44"/>
  <c r="G43" i="44" s="1"/>
  <c r="G42" i="44"/>
  <c r="D41" i="44"/>
  <c r="G41" i="44" s="1"/>
  <c r="D40" i="44"/>
  <c r="G40" i="44" s="1"/>
  <c r="G39" i="44"/>
  <c r="D39" i="44"/>
  <c r="G38" i="44"/>
  <c r="G37" i="44"/>
  <c r="G36" i="44"/>
  <c r="D36" i="44"/>
  <c r="D33" i="44"/>
  <c r="D31" i="44"/>
  <c r="D29" i="44"/>
  <c r="D28" i="44"/>
  <c r="D27" i="44"/>
  <c r="D26" i="44"/>
  <c r="D25" i="44"/>
  <c r="D24" i="44"/>
  <c r="D23" i="44"/>
  <c r="D22" i="44"/>
  <c r="D21" i="44"/>
  <c r="D20" i="44"/>
  <c r="D19" i="44"/>
  <c r="D18" i="44"/>
  <c r="D17" i="44"/>
  <c r="G958" i="44" l="1"/>
  <c r="G1431" i="44"/>
  <c r="G1496" i="44"/>
  <c r="G1524" i="44"/>
  <c r="G1501" i="44" s="1"/>
  <c r="G1791" i="44"/>
  <c r="G329" i="44"/>
  <c r="G950" i="44"/>
  <c r="G930" i="44" s="1"/>
  <c r="G1044" i="44"/>
  <c r="G300" i="44"/>
  <c r="G1492" i="44"/>
  <c r="G1007" i="44"/>
  <c r="G1079" i="44"/>
  <c r="G994" i="44"/>
  <c r="G1024" i="44"/>
  <c r="G612" i="44"/>
  <c r="G332" i="44"/>
  <c r="G531" i="44"/>
  <c r="G1135" i="44"/>
  <c r="G1403" i="44"/>
  <c r="G1741" i="44"/>
  <c r="G265" i="44"/>
  <c r="G1099" i="44"/>
  <c r="G1565" i="44"/>
  <c r="G1599" i="44"/>
  <c r="G631" i="44"/>
  <c r="G833" i="44"/>
  <c r="G1527" i="44"/>
  <c r="G65" i="44"/>
  <c r="G269" i="44"/>
  <c r="G552" i="44"/>
  <c r="G570" i="44"/>
  <c r="G1221" i="44"/>
  <c r="G1177" i="44"/>
  <c r="G1443" i="44"/>
  <c r="G16" i="44"/>
  <c r="G538" i="44"/>
  <c r="G1071" i="44"/>
  <c r="G344" i="44"/>
  <c r="G980" i="44"/>
  <c r="G1052" i="44"/>
  <c r="G1688" i="44"/>
  <c r="G961" i="44"/>
  <c r="G206" i="44"/>
  <c r="G279" i="44"/>
  <c r="G898" i="44"/>
  <c r="G312" i="44"/>
  <c r="G647" i="44"/>
  <c r="G689" i="44"/>
  <c r="G1413" i="44"/>
  <c r="G305" i="44"/>
  <c r="G731" i="44"/>
  <c r="G1313" i="44"/>
  <c r="G484" i="44"/>
  <c r="G1358" i="44"/>
  <c r="G1266" i="44"/>
  <c r="G292" i="44"/>
  <c r="G1421" i="44"/>
  <c r="G149" i="44"/>
  <c r="G133" i="44"/>
  <c r="G182" i="44"/>
  <c r="G101" i="44"/>
  <c r="G335" i="44"/>
  <c r="G658" i="44"/>
  <c r="G1065" i="44"/>
  <c r="G425" i="44"/>
  <c r="G754" i="44"/>
  <c r="G166" i="44"/>
  <c r="G784" i="44"/>
  <c r="G260" i="44"/>
  <c r="G83" i="44"/>
  <c r="G1000" i="44"/>
  <c r="G221" i="44"/>
  <c r="G35" i="44"/>
  <c r="G50" i="44"/>
  <c r="G117" i="44"/>
  <c r="G211" i="44"/>
  <c r="G257" i="44"/>
  <c r="G244" i="44" s="1"/>
  <c r="G241" i="44"/>
  <c r="G232" i="44" s="1"/>
  <c r="G1006" i="44" l="1"/>
  <c r="G328" i="44"/>
  <c r="G957" i="44"/>
  <c r="G1070" i="44"/>
  <c r="G979" i="44"/>
  <c r="G1526" i="44"/>
  <c r="G1098" i="44"/>
  <c r="G15" i="44"/>
  <c r="G343" i="44"/>
  <c r="G1043" i="44"/>
  <c r="G205" i="44"/>
  <c r="G657" i="44"/>
  <c r="G82" i="44"/>
  <c r="G14" i="44" l="1"/>
  <c r="G978" i="44"/>
  <c r="G1096" i="44"/>
  <c r="G955" i="44"/>
  <c r="G954" i="44" s="1"/>
  <c r="G953" i="44"/>
  <c r="G952" i="44" s="1"/>
  <c r="G656" i="44" l="1"/>
  <c r="G342" i="44" s="1"/>
  <c r="G1798" i="44" s="1"/>
  <c r="F1809" i="44" l="1"/>
  <c r="F1806" i="44"/>
  <c r="F1808" i="44"/>
  <c r="F1807" i="44"/>
  <c r="F1805" i="44"/>
  <c r="F1804" i="44"/>
  <c r="F1803" i="44"/>
  <c r="F1802" i="44"/>
  <c r="F1801" i="44" l="1"/>
  <c r="F1810" i="44"/>
  <c r="F1811" i="44" s="1"/>
  <c r="F1813" i="44" s="1"/>
</calcChain>
</file>

<file path=xl/sharedStrings.xml><?xml version="1.0" encoding="utf-8"?>
<sst xmlns="http://schemas.openxmlformats.org/spreadsheetml/2006/main" count="4530" uniqueCount="2293">
  <si>
    <t>No</t>
  </si>
  <si>
    <t>DESCRIPCIÓN</t>
  </si>
  <si>
    <t>CANT.</t>
  </si>
  <si>
    <t>UD</t>
  </si>
  <si>
    <t>VALOR</t>
  </si>
  <si>
    <t>NIVELES SOTERRADOS</t>
  </si>
  <si>
    <t>1.1.1</t>
  </si>
  <si>
    <t>NIVEL -4</t>
  </si>
  <si>
    <t>1.1.1.1</t>
  </si>
  <si>
    <t>Construcción de muros de bloques de 20 cm (8").
Incluye bajada de materiales, acero de refuerzo Ø3/8" y relleno con hormigón en cámaras a cada 0.60 m (donde se ubique el bastón). Considerar anclaje en losas o vigas existentes.</t>
  </si>
  <si>
    <t>M2</t>
  </si>
  <si>
    <t>1.1.1.2</t>
  </si>
  <si>
    <t>Construcción de muros de bloques de 15 cm (6").
Incluye bajada de materiales, acero de refuerzo Ø3/8" y relleno con hormigón en cámaras cada 0.60 m (donde se ubique el bastón). Considerar anclaje en losas o vigas existentes.</t>
  </si>
  <si>
    <t>M3</t>
  </si>
  <si>
    <t>1.1.1.3</t>
  </si>
  <si>
    <t>Columnas de amarre 0.20mx0.20m, 4 barras de 1/2 estribos 3/8 a 0.20m. Incluye bajada de materiales, encofrado, acero de refuerzo y hormigón.</t>
  </si>
  <si>
    <t>1.1.1.4</t>
  </si>
  <si>
    <t>Viga de amarre  0.20mx0.20m, 4 barras de 3/8 estribos 3/8 a 0.20m. Incluye bajada de materiales, encofrado, acero de refuerzo y hormigón.</t>
  </si>
  <si>
    <t>1.1.1.5</t>
  </si>
  <si>
    <t>Fraguache de dinteles, vigas y columnas de amarre. Incluye bajada de materiales</t>
  </si>
  <si>
    <t>1.1.1.6</t>
  </si>
  <si>
    <t>Pañete de dinteles, vigas y columnas de amarre.
Incluye bajada de materiales</t>
  </si>
  <si>
    <t>1.1.1.7</t>
  </si>
  <si>
    <t>Pañete en muros de bloques y bordillo de 40 cm en hueco de escalera a bomba contraincendios.
Incluye bajada de materiales</t>
  </si>
  <si>
    <t>1.1.1.8</t>
  </si>
  <si>
    <t>Repello maestreado en muros de carga, columnas, vigas y muros de protección de rampa</t>
  </si>
  <si>
    <t>1.1.1.9</t>
  </si>
  <si>
    <t>Cantos en muros de bloques, vigas y muros en rampa de acceso</t>
  </si>
  <si>
    <t>ML</t>
  </si>
  <si>
    <t>1.1.1.10</t>
  </si>
  <si>
    <t>Dinteles 0.20m x 0.20m, 4 barras de 1/2 estribos 3/8 a 0.20m (considera el que se requiere para el tanque empotrado del inodoro). Incluye la bajada de materiales, encofrado, acero de refuerzo y hormigón.</t>
  </si>
  <si>
    <t>1.1.1.11</t>
  </si>
  <si>
    <t>Construcción de junta de expansión con poliestireno expandido para la union de los muros pandereta con elementos estructurales, espesor 2".</t>
  </si>
  <si>
    <t>1.1.1.12</t>
  </si>
  <si>
    <t>Construcción de junta de expansión con masilla de alta plasticidad para la union de los muros pandereta con elementos estructurales, espesor 2" en ambas caras. No incluye relleno con poliestireno expandido.</t>
  </si>
  <si>
    <t>1.1.1.13</t>
  </si>
  <si>
    <t>Construcción de junta de expansión con masilla de alta plasticidad para la union de la losa de pavimento con los muros de contención, espesor 2".</t>
  </si>
  <si>
    <t>1.1.1.14</t>
  </si>
  <si>
    <t>1.1.1.15</t>
  </si>
  <si>
    <t>Pañete de vigas y techo en cuarto de bomba contra incendios. Incluye bajada de materiales.</t>
  </si>
  <si>
    <t>1.1.1.16</t>
  </si>
  <si>
    <t>Construcción de losa maciza con hormigón f´c= 280 Kg/cm2, entre ejes 6/B y tramos de muros de contención en esquina NORTE / ESTE; el espesor igual a 0.15 m, e incluye encofrado, acero Ø3/8"@0.20m en ambos sentidos, Ø3/8"@0.25m y Ø1/2"@0.25m como continuidad de refuerzo proveniente de las losas adyacentes, y sus anclajes completos con resina exposica en las vigas perimetrales. Se debe considerar un refuerzo plano con Ø1/2" en todo el perimetro del patinillo previsto (long= 4.00m aprox).</t>
  </si>
  <si>
    <t>1.1.1.17</t>
  </si>
  <si>
    <t>Impermeabilización cementicia en el baño del nivel; altura a considerar 1.50 m desde el nivel de piso.</t>
  </si>
  <si>
    <t>1.1.1.18</t>
  </si>
  <si>
    <t>Construcción carcamo de bombeo (1.00 x 1.00 x 1.40 m).</t>
  </si>
  <si>
    <t>1.1.2</t>
  </si>
  <si>
    <t>NIVEL -3</t>
  </si>
  <si>
    <t>1.1.2.1</t>
  </si>
  <si>
    <t>1.1.2.2</t>
  </si>
  <si>
    <t>1.1.2.3</t>
  </si>
  <si>
    <t>1.1.2.4</t>
  </si>
  <si>
    <t>1.1.2.5</t>
  </si>
  <si>
    <t>1.1.2.6</t>
  </si>
  <si>
    <t>Pañete en muros de bloques.
Incluye bajada de materiales</t>
  </si>
  <si>
    <t>1.1.2.7</t>
  </si>
  <si>
    <t>1.1.2.8</t>
  </si>
  <si>
    <t>Cantos en muros de bloques, vigas y muros en rampa de acceso.</t>
  </si>
  <si>
    <t>1.1.2.9</t>
  </si>
  <si>
    <t>1.1.2.10</t>
  </si>
  <si>
    <t>1.1.2.11</t>
  </si>
  <si>
    <t>1.1.2.12</t>
  </si>
  <si>
    <t>Colocación y pulido de topping, espesor promedio de 5.00 cm modelado según normas. Incluye terminación pulida, corte y sellado de juntas con poliuretano, colocación de curador en base acuosa, suministro y colocación de guarderas, limpieza final. Mano de obra y equipos (alisador mecánico o helicoptero).</t>
  </si>
  <si>
    <t>1.1.2.13</t>
  </si>
  <si>
    <t>1.1.2.14</t>
  </si>
  <si>
    <t>1.1.3</t>
  </si>
  <si>
    <t>NIVEL -2</t>
  </si>
  <si>
    <t>1.1.3.1</t>
  </si>
  <si>
    <t>1.1.3.2</t>
  </si>
  <si>
    <t>1.1.3.3</t>
  </si>
  <si>
    <t>1.1.3.4</t>
  </si>
  <si>
    <t>Fraguache de dinteles, vigas y columnas de amarre.
Incluye bajada de materiales</t>
  </si>
  <si>
    <t>1.1.3.5</t>
  </si>
  <si>
    <t>1.1.3.6</t>
  </si>
  <si>
    <t>1.1.3.7</t>
  </si>
  <si>
    <t>1.1.3.8</t>
  </si>
  <si>
    <t>1.1.3.9</t>
  </si>
  <si>
    <t>1.1.3.10</t>
  </si>
  <si>
    <t>1.1.3.11</t>
  </si>
  <si>
    <t>1.1.3.12</t>
  </si>
  <si>
    <t>1.1.3.13</t>
  </si>
  <si>
    <t>1.1.3.14</t>
  </si>
  <si>
    <t>1.1.4</t>
  </si>
  <si>
    <t>NIVEL -1</t>
  </si>
  <si>
    <t>1.1.4.1</t>
  </si>
  <si>
    <t>1.1.4.2</t>
  </si>
  <si>
    <t>Columnas de amarre 0.20mx0.20m, 4 barras de 1/2 estribos 3/8 a 0.20m.
Incluye bajada de materiales, encofrado, acero de refuerzo y hormigón.</t>
  </si>
  <si>
    <t>1.1.4.3</t>
  </si>
  <si>
    <t>Viga de amarre  0.20mx0.20m, 4 barras de 3/8 estribos 3/8 a 0.20m.
Incluye bajada de materiales, encofrado, acero de refuerzo y hormigón.</t>
  </si>
  <si>
    <t>1.1.4.4</t>
  </si>
  <si>
    <t>1.1.4.5</t>
  </si>
  <si>
    <t>1.1.4.6</t>
  </si>
  <si>
    <t>1.1.4.7</t>
  </si>
  <si>
    <t>1.1.4.8</t>
  </si>
  <si>
    <t>1.1.4.9</t>
  </si>
  <si>
    <t>1.1.4.10</t>
  </si>
  <si>
    <t>1.1.4.11</t>
  </si>
  <si>
    <t>1.1.4.12</t>
  </si>
  <si>
    <t>1.1.4.13</t>
  </si>
  <si>
    <t>1.1.4.14</t>
  </si>
  <si>
    <t>1.2.1</t>
  </si>
  <si>
    <t>NIVEL DE LLEGADA</t>
  </si>
  <si>
    <t>1.2.1.1</t>
  </si>
  <si>
    <t>1.2.1.2</t>
  </si>
  <si>
    <t>Columnas de amarre 0.20mx0.20m, 4 barras de 1/2 estribos 3/8 a 0.20m. Incluye encofrado, acero de refuerzo y hormigón.</t>
  </si>
  <si>
    <t>1.2.1.3</t>
  </si>
  <si>
    <t>Viga de amarre  0.20mx0.20m, 4 barras de 3/8 estribos 3/8 a 0.20m. Incluye encofrado, acero de refuerzo y hormigón.</t>
  </si>
  <si>
    <t>1.2.1.4</t>
  </si>
  <si>
    <t>Fraguache de dinteles, vigas y columnas de amarre.</t>
  </si>
  <si>
    <t>1.2.1.5</t>
  </si>
  <si>
    <t>Pañete de dinteles, vigas y columnas de amarre.</t>
  </si>
  <si>
    <t>1.2.1.6</t>
  </si>
  <si>
    <t>Pañete en muros de bloques y bordillo de 40 cm en hueco de escalera a bomba contraincendios.</t>
  </si>
  <si>
    <t>1.2.1.7</t>
  </si>
  <si>
    <t>Repello maestreado en muros de carga, columnas, vigas interiores y exteriores.
Incluye portico H del área de servicios</t>
  </si>
  <si>
    <t>1.2.1.8</t>
  </si>
  <si>
    <t xml:space="preserve">Cantos en muros de bloques y vigas </t>
  </si>
  <si>
    <t>1.2.1.9</t>
  </si>
  <si>
    <t>Dinteles 0.20m x 0.20m, 4 barras de 1/2 estribos 3/8 a 0.20m. Incluye encofrado, acero de refuerzo y hormigón.</t>
  </si>
  <si>
    <t>1.2.1.10</t>
  </si>
  <si>
    <t>Construcción de junta de expansión con poliestireno para la union de los muros pandereta con elementos estructurales, espesor 2" (en la volumetría se considera este efecto).</t>
  </si>
  <si>
    <t>1.2.1.11</t>
  </si>
  <si>
    <t>Construcción de junta de expansión con masilla de alta plasticidad para la union de los muros pandereta con elementos estructurales. Espesor 2" en ambas caras. No incluye relleno con poliestireno expandido.</t>
  </si>
  <si>
    <t>1.2.1.12</t>
  </si>
  <si>
    <t>Construcción de muro pandereta de hormigón 210 Kg/cm2, espesor 12.00 cm en descanso escalera de 1.10 x 0.12 x 3.90  (2 muros), acabado hormigon visto</t>
  </si>
  <si>
    <t>1.2.1.13</t>
  </si>
  <si>
    <t>Construcción de bordillo o zócalo de hormigón, espesor 0.20m x 0.10 cm. Incluye encofrado, acero de refuerzo y hormigón. Ubicados debajo ventanas edif. B 2.43*0.20*0.1m</t>
  </si>
  <si>
    <t>1.2.1.14</t>
  </si>
  <si>
    <t>Construcción de zócalo de hormigón. Incluye encofrado y hormigón. Ubicados debajo muro cortina nivel 1, de  55.95x0.15 x 0.035 m .</t>
  </si>
  <si>
    <t>1.2.1.15</t>
  </si>
  <si>
    <t>Colocación y pulido de fino en losa de entrepiso externa (áreas de acceso frontal y posterior), espesor promedio 5.00 cm. Incluye curador de base acuosa, terminación pulida y limpieza final. Mano de obra y equipos (alisador mecánico ó helicoptero)</t>
  </si>
  <si>
    <t>1.2.1.16</t>
  </si>
  <si>
    <t>Impermeabilizante de losa en poliuretano líquido o material similar. Incluye limpieza de la superficie y sellado de grietas con masilla de poliuretano.</t>
  </si>
  <si>
    <t>1.2.1.17</t>
  </si>
  <si>
    <t>Impermeabilización cementicia en baños, depósito/janitor y caseta de refrigerados; altura a considerar 1.50 m desde el nivel de piso.</t>
  </si>
  <si>
    <t>1.2.2</t>
  </si>
  <si>
    <t>NIVEL +2</t>
  </si>
  <si>
    <t>1.2.2.1</t>
  </si>
  <si>
    <t>Construcción de muros de bloques de 20 cm (8").
Incluye bajada de materiales, acero de refuerzo Ø3/8" y relleno con hormigón en cámaras a cada 0.60 m (donde se ubique el bastón).</t>
  </si>
  <si>
    <t>1.2.2.2</t>
  </si>
  <si>
    <t>Columnas de amarre 0.20mx0.20m, 4 barras de 1/2 estribos 3/8 a 0.20m. Incluye la subida de materiales, encofrado, acero de refuerzo y hormigón.</t>
  </si>
  <si>
    <t>1.2.2.3</t>
  </si>
  <si>
    <t>Viga de amarre  0.20mx0.20m, 4 barras de 3/8 estribos 3/8 a 0.20m. Incluye la subida de materiales, encofrado, acero de refuerzo y hormigón.</t>
  </si>
  <si>
    <t>1.2.2.4</t>
  </si>
  <si>
    <t>Fraguache de dinteles, vigas y columnas de amarre.
Incluye la subida de materiales</t>
  </si>
  <si>
    <t>1.2.2.5</t>
  </si>
  <si>
    <t>Pañete de dinteles, Vigas y columnas de amarre.
Incluye la subida de materiales</t>
  </si>
  <si>
    <t>1.2.2.6</t>
  </si>
  <si>
    <t>Pañete en muros de bloques.
Incluye la subida de materiales</t>
  </si>
  <si>
    <t>1.2.2.7</t>
  </si>
  <si>
    <t>Repello maestreado en muros de carga, columnas, vigas interiores y exteriores.  Incluye portico H del área de servicios</t>
  </si>
  <si>
    <t>1.2.2.8</t>
  </si>
  <si>
    <t>1.2.2.9</t>
  </si>
  <si>
    <t>Dinteles 0.20m x 0.20m, 4 barras de 1/2 estribos 3/8 a 0.20m. Incluye la subida de materiales, encofrado, acero de refuerzo y hormigón.</t>
  </si>
  <si>
    <t>1.2.2.10</t>
  </si>
  <si>
    <t>Construcción de junta de expansión con poliestireno para la union de los muros pandereta con elementos estructurales, espesor 2".</t>
  </si>
  <si>
    <t>1.2.2.11</t>
  </si>
  <si>
    <t>1.2.2.12</t>
  </si>
  <si>
    <t>Construcción de muro pandereta de hormigón 210 Kg/cm2, espesor 12.00 cm en descanso escalera de 0.30 x 0.12 x 3.84  (2 muros), acabado hormigón visto</t>
  </si>
  <si>
    <t>1.2.2.13</t>
  </si>
  <si>
    <t>Construcción de bordillo o zócalo de hormigón, espesor 0.20m x 0.10 cm. Incluye encofrado, acero de refuerzo y hormigón. Ubicados debajo ventanas edif. B 2.43*0.20*0.1mx2</t>
  </si>
  <si>
    <t>1.2.2.14</t>
  </si>
  <si>
    <t>Construcción de 5 columnas de 0.20mx0.35mx1.40m para emportar inodoros de pared. Incluye la subida de materiales, encofrado, acero de refuerzo y hormigón 210 Kg/cm2</t>
  </si>
  <si>
    <t>1.2.2.15</t>
  </si>
  <si>
    <t>Impermeabilización cementicia en baños, depósito/janitor, kitchenette y estación de lactancia; altura a considerar 1.50 m desde el nivel de piso.</t>
  </si>
  <si>
    <t>1.2.3</t>
  </si>
  <si>
    <t>NIVEL +3</t>
  </si>
  <si>
    <t>1.2.3.1</t>
  </si>
  <si>
    <t>1.2.3.2</t>
  </si>
  <si>
    <t>1.2.3.3</t>
  </si>
  <si>
    <t>1.2.3.4</t>
  </si>
  <si>
    <t>1.2.3.5</t>
  </si>
  <si>
    <t>Pañete de dinteles, vigas y columnas de amarre.
Incluye la subida de materiales</t>
  </si>
  <si>
    <t>1.2.3.6</t>
  </si>
  <si>
    <t>1.2.3.7</t>
  </si>
  <si>
    <t>Repello maestreado en muros de carga, columnas, vigas interiores y exteriores. Incluye portico H del área de servicios</t>
  </si>
  <si>
    <t>1.2.3.8</t>
  </si>
  <si>
    <t>1.2.3.9</t>
  </si>
  <si>
    <t>1.2.3.10</t>
  </si>
  <si>
    <t>1.2.3.11</t>
  </si>
  <si>
    <t>1.2.3.12</t>
  </si>
  <si>
    <t>1.2.3.13</t>
  </si>
  <si>
    <t>1.2.3.14</t>
  </si>
  <si>
    <t>Construcción de 5 columnas de 0.20mx0.35mx1.40m para emportar inodoros de pared.
Incluye la subida de materiales, encofrado, acero de refuerzo y hormigón 210 Kg/cm2</t>
  </si>
  <si>
    <t>1.2.3.15</t>
  </si>
  <si>
    <t>1.2.4</t>
  </si>
  <si>
    <t>NIVEL +4</t>
  </si>
  <si>
    <t>1.2.4.1</t>
  </si>
  <si>
    <t>1.2.4.2</t>
  </si>
  <si>
    <t>1.2.4.3</t>
  </si>
  <si>
    <t>1.2.4.4</t>
  </si>
  <si>
    <t>1.2.4.5</t>
  </si>
  <si>
    <t>1.2.4.6</t>
  </si>
  <si>
    <t>1.2.4.7</t>
  </si>
  <si>
    <t>1.2.4.8</t>
  </si>
  <si>
    <t>1.2.4.9</t>
  </si>
  <si>
    <t>1.2.4.10</t>
  </si>
  <si>
    <t>1.2.4.11</t>
  </si>
  <si>
    <t>1.2.4.12</t>
  </si>
  <si>
    <t>1.2.4.13</t>
  </si>
  <si>
    <t>1.2.4.14</t>
  </si>
  <si>
    <t>1.2.4.15</t>
  </si>
  <si>
    <t>1.2.5</t>
  </si>
  <si>
    <t>NIVEL +5</t>
  </si>
  <si>
    <t>1.2.5.1</t>
  </si>
  <si>
    <t>1.2.5.2</t>
  </si>
  <si>
    <t>1.2.5.3</t>
  </si>
  <si>
    <t>1.2.5.4</t>
  </si>
  <si>
    <t>1.2.5.5</t>
  </si>
  <si>
    <t>1.2.5.6</t>
  </si>
  <si>
    <t>1.2.5.7</t>
  </si>
  <si>
    <t>1.2.5.8</t>
  </si>
  <si>
    <t>Repello maestreado en losa de entrepiso</t>
  </si>
  <si>
    <t>1.2.5.9</t>
  </si>
  <si>
    <t>1.2.5.10</t>
  </si>
  <si>
    <t>1.2.5.11</t>
  </si>
  <si>
    <t>1.2.5.12</t>
  </si>
  <si>
    <t>1.2.5.13</t>
  </si>
  <si>
    <t>1.2.5.14</t>
  </si>
  <si>
    <t>1.2.5.15</t>
  </si>
  <si>
    <t>1.2.5.16</t>
  </si>
  <si>
    <t>1.2.6</t>
  </si>
  <si>
    <t>NIVEL +6</t>
  </si>
  <si>
    <t>1.2.6.1</t>
  </si>
  <si>
    <t>1.2.6.2</t>
  </si>
  <si>
    <t>1.2.6.3</t>
  </si>
  <si>
    <t>1.2.6.4</t>
  </si>
  <si>
    <t>1.2.6.5</t>
  </si>
  <si>
    <t>1.2.6.6</t>
  </si>
  <si>
    <t>1.2.6.7</t>
  </si>
  <si>
    <t>1.2.6.8</t>
  </si>
  <si>
    <t>1.2.6.9</t>
  </si>
  <si>
    <t>1.2.6.10</t>
  </si>
  <si>
    <t>1.2.6.11</t>
  </si>
  <si>
    <t>1.2.6.12</t>
  </si>
  <si>
    <t>1.2.6.13</t>
  </si>
  <si>
    <t>1.2.6.14</t>
  </si>
  <si>
    <t>1.2.6.15</t>
  </si>
  <si>
    <t>1.2.7</t>
  </si>
  <si>
    <t>NIVEL AZOTEA</t>
  </si>
  <si>
    <t>1.2.7.1</t>
  </si>
  <si>
    <t>1.2.7.2</t>
  </si>
  <si>
    <t>1.2.7.3</t>
  </si>
  <si>
    <t>1.2.7.4</t>
  </si>
  <si>
    <t>1.2.7.5</t>
  </si>
  <si>
    <t>1.2.7.6</t>
  </si>
  <si>
    <t>1.2.7.7</t>
  </si>
  <si>
    <t>1.2.7.8</t>
  </si>
  <si>
    <t>1.2.7.9</t>
  </si>
  <si>
    <t>Cantos en antepechos de cubierta y azotea</t>
  </si>
  <si>
    <t>1.2.7.10</t>
  </si>
  <si>
    <t>1.2.7.11</t>
  </si>
  <si>
    <t>1.2.7.12</t>
  </si>
  <si>
    <t>1.2.7.13</t>
  </si>
  <si>
    <t>Construcción de muro pandereta de hormigón 210 Kg/cm2, espesor 12.00 cm en descanso escalera de 0.30 x 0.12 x 5.10  (2 muros), acabado hormigón visto</t>
  </si>
  <si>
    <t>1.2.7.14</t>
  </si>
  <si>
    <t>Construcción de bordillo o zócalo de hormigón, espesor 0.20m x 0.10 cm. Incluye la subida de materiales, encofrado, acero de refuerzo y hormigón. Ubicados debajo particion de vidrio modulo de servicios, nivel de azotea, 9.15*0.20*0.10m + debajo ventanas 2.43*0.20*0.1mx2</t>
  </si>
  <si>
    <t>1.2.7.15</t>
  </si>
  <si>
    <t>1.2.7.16</t>
  </si>
  <si>
    <t xml:space="preserve">Colocación y pulido de fino en las losas de techo de los edificios A y B. Incluye curador de base acuosa, terminación pulida y limpieza final. Mano de obra y equipos (alisador mecánico ó helicoptero) </t>
  </si>
  <si>
    <t>1.2.7.17</t>
  </si>
  <si>
    <t>Impermeabilizante en las losas de techo de los edificios A y B, antepechos y tragaluz, en lona asfáltica, espesor de 4 mm. Incluye limpieza de la superficie, sellado de grietas con masilla de poliuretano y colocación de primer. Incluye subida de materiales</t>
  </si>
  <si>
    <t>1.2.7.18</t>
  </si>
  <si>
    <t>Construcción de zabaletas en losas de techo de los edificios A y B. Incluye subida de materiales</t>
  </si>
  <si>
    <t>1.2.7.19</t>
  </si>
  <si>
    <t>Impermeabilización cementicia en baños, depósito/janitor y kitchenette; altura a considerar 1.50 m desde el nivel de piso.</t>
  </si>
  <si>
    <t>1.3.1</t>
  </si>
  <si>
    <t>GARITA DEL GUARDIAN</t>
  </si>
  <si>
    <t xml:space="preserve"> </t>
  </si>
  <si>
    <t>1.3.1.1</t>
  </si>
  <si>
    <t>Losa de piso en hormigón 210 Kg/cm2, espesor 0.10 m.  Incluye guarderas y fibra de polipropieno. Incluye curador de base acuosa, terminación pulida y limpieza final. Mano de obra y equipos (alisador mecánico ó helicoptero)</t>
  </si>
  <si>
    <t>1.3.1.2</t>
  </si>
  <si>
    <t>Counter de hormigón 210 Kg/cm2, espesor 0.10 m. Incluye encofrado (2.54 m2) y acero de refuerzo</t>
  </si>
  <si>
    <t>1.3.1.3</t>
  </si>
  <si>
    <t>Pañete maestreado interior y exterior</t>
  </si>
  <si>
    <t>1.3.1.4</t>
  </si>
  <si>
    <t xml:space="preserve">Cantos </t>
  </si>
  <si>
    <t>1.3.2</t>
  </si>
  <si>
    <t>VERJA PERIMETRAL</t>
  </si>
  <si>
    <t>1.3.2.1</t>
  </si>
  <si>
    <t>Construcción de muros de bloques de 20 cm (8").
Incluye bajada de materiales, acero de refuerzo Ø3/8" y relleno con hormigón en cámaras a cada 0.40 m (donde se ubique el bastón).</t>
  </si>
  <si>
    <t>1.3.2.2</t>
  </si>
  <si>
    <t>Pañete y terminación</t>
  </si>
  <si>
    <t>1.3.2.3</t>
  </si>
  <si>
    <t>1.3.2.4</t>
  </si>
  <si>
    <t>Columnas de amarre 0.20mx0.20m, 4 barras de 3/8 estribos 3/8 a 0.25m. Incluye encofrado, acero de refuerzo y hormigón.</t>
  </si>
  <si>
    <t>1.3.2.5</t>
  </si>
  <si>
    <t>Viga de coronamiento  0.20mx0.20m, 4 barras de 3/8 estribos 3/8 a 0.25. Incluye encofrado, acero de refuerzo y hormigón.</t>
  </si>
  <si>
    <t>1.3.2.6</t>
  </si>
  <si>
    <t>Fraguache de vigas de coronamiento y columnas</t>
  </si>
  <si>
    <t>1.3.2.7</t>
  </si>
  <si>
    <t>Excavación en roca de cimientos con equipo manual. Desplante 0.85m.</t>
  </si>
  <si>
    <t>1.3.2.8</t>
  </si>
  <si>
    <t>Bote de material producto de excavación. Esponjamiento de un 30%</t>
  </si>
  <si>
    <t>1.3.2.9</t>
  </si>
  <si>
    <t>Zapata de hormigón 210 Kg/cm2 para muros de bloques de 20.00 cm (8"). 0.60m x 0.25 m. Refuerzo 3 barras de 3/8 y estribos 3/8 a 0.25m. Incluye acero de refuerzo y guarderas.</t>
  </si>
  <si>
    <t>1.3.3</t>
  </si>
  <si>
    <t>CASETA DE GAS</t>
  </si>
  <si>
    <t>1.3.3.1</t>
  </si>
  <si>
    <t>Construcción de muros de bloques de 15 cm (6").
Incluye bajada de materiales, acero de refuerzo Ø3/8" y relleno con hormigón en cámaras cada 0.40 m (donde se ubique el bastón). Considerar anclaje en losas o vigas existentes.</t>
  </si>
  <si>
    <t>1.3.3.2</t>
  </si>
  <si>
    <t>1.3.3.3</t>
  </si>
  <si>
    <t>1.3.3.4</t>
  </si>
  <si>
    <t>Dintel de hormigón 0.15m x 0.20m, 4 barras de 1/2 estribos 3/8 a 0.20m. Incluye encofrado, acero de refuerzo y hormigón.</t>
  </si>
  <si>
    <t>1.3.3.5</t>
  </si>
  <si>
    <t>Fraguache de dintel</t>
  </si>
  <si>
    <t>1.3.3.6</t>
  </si>
  <si>
    <t>Losa cubierta de hormigón 210 Kg/cm2, espesor 0.12 m. Incluye encofrado y acero de refuerzo</t>
  </si>
  <si>
    <t>1.3.3.7</t>
  </si>
  <si>
    <t>Losa de piso en Hormigón 210 Kg/cm2, espesor 0.10 m. Incluye guarderas y fibra de polipropieno. Terminación frotada.</t>
  </si>
  <si>
    <t>1.3.3.8</t>
  </si>
  <si>
    <t>Colocación y pulido de fino en losa de techo o cubierta, espesor promedio 6.00 cm. Incluye curador de base acuosa, terminación pulida y limpieza final. Mano de obra y equipos (alisador mecánico ó helicoptero)</t>
  </si>
  <si>
    <t>1.3.3.9</t>
  </si>
  <si>
    <t>Construcción de zabaletas en losa de techo. Incluye subida de materiales</t>
  </si>
  <si>
    <t>M</t>
  </si>
  <si>
    <t>1.3.3.10</t>
  </si>
  <si>
    <t>Impermeabilizante en losa de techo y antepechos en lona asfáltica, espesor de 4 mm. Incluye limpieza de la superficie, sellado de grietas con masilla de poliuretano y colocación de primer. Incluye subida de materiales</t>
  </si>
  <si>
    <t>1.3.4</t>
  </si>
  <si>
    <t>CASETA PARA REFRIGERADO (BASURA)</t>
  </si>
  <si>
    <t>1.3.4.1</t>
  </si>
  <si>
    <t>1.3.4.2</t>
  </si>
  <si>
    <t>1.3.4.3</t>
  </si>
  <si>
    <t>1.3.4.4</t>
  </si>
  <si>
    <t>Base cerramiento de vidrio fijo de la caseta de la salida de emergencia en blocks de 15 cm (solo una línea de block)  . Incluye pañete y relleno de camaras con hormigón.</t>
  </si>
  <si>
    <t>1.3.4.5</t>
  </si>
  <si>
    <t>1.3.4.6</t>
  </si>
  <si>
    <t>1.3.4.7</t>
  </si>
  <si>
    <t>1.3.4.8</t>
  </si>
  <si>
    <t>1.3.4.9</t>
  </si>
  <si>
    <t>1.3.4.10</t>
  </si>
  <si>
    <t>1.3.4.11</t>
  </si>
  <si>
    <t>1.3.5</t>
  </si>
  <si>
    <t>CASETA DE SALIDA DE ESCALERA DE EMERGENCIA EN NIVELES SOTERRADOS</t>
  </si>
  <si>
    <t>1.3.5.1</t>
  </si>
  <si>
    <t>1.3.5.2</t>
  </si>
  <si>
    <t>Pañete y terminación en muros de bloques</t>
  </si>
  <si>
    <t>1.3.5.3</t>
  </si>
  <si>
    <t>Pañete y terminación en elementos de hormigón armado</t>
  </si>
  <si>
    <t>1.3.5.4</t>
  </si>
  <si>
    <t>Encofrado</t>
  </si>
  <si>
    <t>1.3.5.5</t>
  </si>
  <si>
    <t>1.3.5.6</t>
  </si>
  <si>
    <t>Construcción de junta de expansión con poliestireno y masilla de alta plasticidad. Espesor 2".</t>
  </si>
  <si>
    <t>1.3.5.7</t>
  </si>
  <si>
    <t>Vigas invertidas sobre cubierta (forma semi-triangular) 0.10m x 0.30m x 2.15 m.
Hormigón 240 Kg/cm2</t>
  </si>
  <si>
    <t>1.3.5.8</t>
  </si>
  <si>
    <t>Columnas 0.25m x 0.50m x 2.00m.
Hormigón 240 Kg/cm2</t>
  </si>
  <si>
    <t>1.3.5.9</t>
  </si>
  <si>
    <t>Antepecho 8.25m x 0.30m x 0.50m.
Hormigón 240 Kg/cm2</t>
  </si>
  <si>
    <t>1.3.5.10</t>
  </si>
  <si>
    <t>Muros 9.50m x 0.50m x 0.50m.
Hormigón 240 Kg/cm2</t>
  </si>
  <si>
    <t>1.3.5.11</t>
  </si>
  <si>
    <t>Losa aligerada. Cubierta de hormigón 240 Kg/cm2, espesor 0.20 m.Incluye encofrado, acero de refuerzo y planchas de poliestireno 1.45 x 0.50 x 0.15</t>
  </si>
  <si>
    <t>1.3.5.12</t>
  </si>
  <si>
    <t>1.3.5.13</t>
  </si>
  <si>
    <t>1.3.5.14</t>
  </si>
  <si>
    <t>1.3.5.15</t>
  </si>
  <si>
    <t>1.3.6</t>
  </si>
  <si>
    <t>JARDINERAS</t>
  </si>
  <si>
    <t>1.3.6.1</t>
  </si>
  <si>
    <t>Muros circulares espesor 0.10m; radio exterior 0.80m, radio interior 0.70m. Incluye acero de refuerzo y hormigón 240 Kg/cm2</t>
  </si>
  <si>
    <t>1.3.6.2</t>
  </si>
  <si>
    <t>1.3.6.3</t>
  </si>
  <si>
    <t>Resane y terminación</t>
  </si>
  <si>
    <t>1.3.6.4</t>
  </si>
  <si>
    <t>1.3.7</t>
  </si>
  <si>
    <t>PATINILLOS</t>
  </si>
  <si>
    <t>1.3.7.1</t>
  </si>
  <si>
    <t>Cerramiento en bloques de 8" para caja de patinillo en los edificios A y B sobre nivel de techo. H= 0.50 m. Incluye subida o bajada de materiales, acero de refuerzo Ø3/8" y relleno con hormigón en cámaras a cada 0.60 m (donde se ubique el bastón).</t>
  </si>
  <si>
    <t>1.3.7.2</t>
  </si>
  <si>
    <t>Pañete de muros caja de patinillos edif A y B sobre nivel de techo. Incluye la subida o bajada de materiales</t>
  </si>
  <si>
    <t>1.3.7.3</t>
  </si>
  <si>
    <t>Losa de techo para patinillos de los edificios A y B sobre nivel de techo. Incluye encofrado, armado y vaciado. Dimensión  2.11x 1 m  y 1.13 X 0.335 m, e= 0.12 m</t>
  </si>
  <si>
    <t>1.3.8</t>
  </si>
  <si>
    <t>REPARACIÓN ESTRUCTURAL EN ELEMENTOS DE HORMIGÓN ARMADO</t>
  </si>
  <si>
    <t>1.3.8.1</t>
  </si>
  <si>
    <t>Corte con disco de diamante de irregularidades o deformaciones salientes en la superficie de  vigas muros y columnas.</t>
  </si>
  <si>
    <t>1.3.8.2</t>
  </si>
  <si>
    <t>Suministro e instalación  lámina de fibra de carbono de 100 mm ancho y espesor de 1.2 mm,   para reforzamiento estructural en pórticos F  y E . Incluye preparación de superficie, adhesivo de resina epóxica y anclajes. (long 9.20m, ancho 0.20m)</t>
  </si>
  <si>
    <t>1.3.8.3</t>
  </si>
  <si>
    <t>Confeccion de biselados en muros y columnas de H.A. con disco de corte adiamantado, nivel 1 al 7</t>
  </si>
  <si>
    <t>1.3.8.4</t>
  </si>
  <si>
    <t>Confección de biselados en muros y columnas de H.A. con disco de corte adiamantado, sotanos.</t>
  </si>
  <si>
    <t>1.3.8.5</t>
  </si>
  <si>
    <t>Confección de juntas rehudindas en muros y columnas de H.A con disco de corte adiamantado , nivel 1 al 7</t>
  </si>
  <si>
    <t>1.3.8.6</t>
  </si>
  <si>
    <t>1.3.8.7</t>
  </si>
  <si>
    <t>Sellado de huecos en columnas, y muros de carga nivel -4 con mortero.</t>
  </si>
  <si>
    <t>1.3.9</t>
  </si>
  <si>
    <t>SUMINISTRO E INSTALACIÓN DE GAS PROPANO PARA LA CAFETERÍA EN NIVEL DE LLEGADA</t>
  </si>
  <si>
    <t>1.3.9.1</t>
  </si>
  <si>
    <t>Suministro e instalación de 24 ml de  tuberias de gas propano de 1/4",  colgante en losa. Incluye materiales,  2 perforaciones para pasante  de 1/2" dm  en losa H.A., fijaciones con colgadores tipo pera certificada UL, andamio y accesorios.</t>
  </si>
  <si>
    <t>1.3.10</t>
  </si>
  <si>
    <t>SUMINISTRO E INSTALACIÓN DE TUBERÍAS DE ESCAPE DE GASES. ENCAMISADO PARA AISLAMIENTO TÉRMICO</t>
  </si>
  <si>
    <t>1.3.10.1</t>
  </si>
  <si>
    <t>Suministro de tuberia de 4" X 20 ´ A53, SCH -10, para muffler  con  120 ML de bomba contraincendios</t>
  </si>
  <si>
    <t>UND</t>
  </si>
  <si>
    <t>1.3.10.2</t>
  </si>
  <si>
    <t>Suministro de codo 90° 4"de acero</t>
  </si>
  <si>
    <t>1.3.10.3</t>
  </si>
  <si>
    <t>Suministro de tuberia de 5" X 20 ´ A53, SCH -10 ,   para 2 muffler  con 110 y 115  ML de 2 generadores eléctricos (Plantas eléctricas)</t>
  </si>
  <si>
    <t>1.3.10.4</t>
  </si>
  <si>
    <t>Suministro de codo 90° 5"de acero</t>
  </si>
  <si>
    <t>1.3.10.5</t>
  </si>
  <si>
    <t>Materiales, equipos, andamios, fijaciones con colgadores tipo pera certificada UL y accesorios para instalación de las 3 tuberias.
(consolidado de accesorios para contraincedio y plantas eléctricas)</t>
  </si>
  <si>
    <t>1.3.10.6</t>
  </si>
  <si>
    <t>Materiales para aislamiento térmico de las 3 tuberias, plancha de fibra de 2".
(contraincendio y 2 plantas eléctricas)</t>
  </si>
  <si>
    <t>1.3.10.7</t>
  </si>
  <si>
    <t>Rollo de aluminio calibre 24 para las 3 tuberias</t>
  </si>
  <si>
    <t>1.3.10.8</t>
  </si>
  <si>
    <t xml:space="preserve">Instalación de  2 tubería de 5"  de  escape de gases de generadores electricos y una de 4 " de  motobomba contraincendios. </t>
  </si>
  <si>
    <t>1.3.10.9</t>
  </si>
  <si>
    <t xml:space="preserve">Instalación de encamisado para aislamiento térmico  de  2 tubería de 5"  de  escape de gases de generadores electricos y una de 4 " de  motobomba contraincendios. </t>
  </si>
  <si>
    <t>1.3.10.10</t>
  </si>
  <si>
    <t>Trampa de agua para Muflerr de 4 1/2" para la bomba contraincendios.</t>
  </si>
  <si>
    <t>1.3.10.11</t>
  </si>
  <si>
    <t>Trampa de agua para Muflerr de 5 1/2" para los dos generadores.</t>
  </si>
  <si>
    <t>1.3.10.12</t>
  </si>
  <si>
    <t>Pasante de 8" dm con maquina  en losa de H.A.
(2 tuberías por cada nivel soterrado)</t>
  </si>
  <si>
    <t>1.3.11</t>
  </si>
  <si>
    <t>ÁREAS EXTERIORES</t>
  </si>
  <si>
    <t>1.3.11.1</t>
  </si>
  <si>
    <t>Remoción verja de aluzinc perimetral</t>
  </si>
  <si>
    <t>1.3.11.2</t>
  </si>
  <si>
    <t>Remoción y limpieza de restos de hormigón en área de colocación de la bomba (calle La Vega)</t>
  </si>
  <si>
    <t>1.3.11.3</t>
  </si>
  <si>
    <t>Demolición de acera y jardinera frontal del proyecto y acera de clinica Docamed con compresor. (e = 0.20 m)</t>
  </si>
  <si>
    <t>1.3.11.4</t>
  </si>
  <si>
    <t>Construcción de acera perimetral con hormigón 210 Kg/cm2, espesor 0.10 m.
Incuye bordillo y guarderas</t>
  </si>
  <si>
    <t>1.3.11.5</t>
  </si>
  <si>
    <t>Nivelación, relleno y compactación subrasante de aceras (e = 0.10 m)</t>
  </si>
  <si>
    <t>1.3.11.6</t>
  </si>
  <si>
    <t>Relleno entre muros de contencion y talud con  hormigon ciclopeo  f´c= 180 kg./cm2 (60% de hormigon + 40% de  piedra).
Incluye mano de obra para la colocacion de piedras</t>
  </si>
  <si>
    <t>1.3.11.7</t>
  </si>
  <si>
    <t>Fumigación en muros de contención contra talud perimetral.</t>
  </si>
  <si>
    <t>1.3.12</t>
  </si>
  <si>
    <t>DIVISIONES LIGERAS</t>
  </si>
  <si>
    <t>1.3.12.1</t>
  </si>
  <si>
    <t>Muros aligerados  de poliestireno expandido (incluye terminación de superficie, acabado liso) nivel 1 al 6 y nivel de azotea</t>
  </si>
  <si>
    <t>1.3.12.2</t>
  </si>
  <si>
    <t>Cierre en panel fibro-yeso (Densglass), una cara, en fachada frontal, parte posterior de ascensores, detrás de louvers metálicos. Incluye terminación lisa.</t>
  </si>
  <si>
    <t>1.3.12.3</t>
  </si>
  <si>
    <t xml:space="preserve">Cierre en panel fibro-yeso (Densglass), dos caras, reforzado, en áreas de baño y zonas húmedas. Incluye terminación lisa. </t>
  </si>
  <si>
    <t>1.3.12.4</t>
  </si>
  <si>
    <t>Pintura acrílica exterior sobre cierre en panel fibro-yeso. Color gris oscuro</t>
  </si>
  <si>
    <t>1.3.13</t>
  </si>
  <si>
    <t>TERMINACIÓN DE SUPERFICIES</t>
  </si>
  <si>
    <t>1.3.13.1</t>
  </si>
  <si>
    <t>Fraguache y pañete a 1 cara en muro de contención OESTE sobre la rampa vehícular</t>
  </si>
  <si>
    <t>1.3.13.2</t>
  </si>
  <si>
    <t>Resane y terminación en vigas, muros, columnas y losas de entrepiso en el área del piso técnico para los niveles +2 al +6</t>
  </si>
  <si>
    <t>1.3.13.3</t>
  </si>
  <si>
    <t>Resane y terminación en losas de entrepiso del edificio A para la colocación del piso técnico en los niveles +2 al +6</t>
  </si>
  <si>
    <t>1.3.13.4</t>
  </si>
  <si>
    <t>Repello maestreado en muro de contención para la escalera emergencia de los sotanos.</t>
  </si>
  <si>
    <t>1.3.13.5</t>
  </si>
  <si>
    <t>kit Resina epoxica para anclaje de bastones en muros de bloques a vigas o losas</t>
  </si>
  <si>
    <t>1.3.13.6</t>
  </si>
  <si>
    <t>1.3.14</t>
  </si>
  <si>
    <t>REQUERIMIENTOS GENERALES</t>
  </si>
  <si>
    <t>1.3.14.1</t>
  </si>
  <si>
    <t>1.3.14.2</t>
  </si>
  <si>
    <t>Limpieza final y general del proyecto previo a entrega de obra. Incluye: limpieza profunda de piso,
techos, cristales internos, alfombras, vidrios en fachada (con equipos de rappel). Con máquinas de presión de agua y aire según corresponda.</t>
  </si>
  <si>
    <t>1.3.14.3</t>
  </si>
  <si>
    <t>Bote de escombros y materiales de desechos
(se estiman camiones de 6.00 m3)</t>
  </si>
  <si>
    <t>1.3.14.4</t>
  </si>
  <si>
    <t>1.3.14.5</t>
  </si>
  <si>
    <t>Alquiler de minicargador frontal (trabajos de orden, limpieza y apoyo movilizacion interior)</t>
  </si>
  <si>
    <t>DÍAS</t>
  </si>
  <si>
    <t>1.3.14.6</t>
  </si>
  <si>
    <t>Alquiler de winche.
Incluye operador</t>
  </si>
  <si>
    <t>MES</t>
  </si>
  <si>
    <t>1.3.14.7</t>
  </si>
  <si>
    <t>Alquiler de andamios metálicos</t>
  </si>
  <si>
    <t>M2/MES</t>
  </si>
  <si>
    <t>1.3.14.8</t>
  </si>
  <si>
    <t>Topografia Continua durante el proyecto ( incluye minimo de 5 visitas mensuales y uso de estacion total, Nivel Laser)</t>
  </si>
  <si>
    <t>Visitas</t>
  </si>
  <si>
    <t>1.3.14.9</t>
  </si>
  <si>
    <t>Suministro e instalación cerramiento de plywood de 1/4" para fachada. Altura 2.90 m</t>
  </si>
  <si>
    <t>1.3.14.10</t>
  </si>
  <si>
    <t>Desmonte baranda perimetral de madera Edif. A. nivel 2 al 6</t>
  </si>
  <si>
    <t>1.3.14.11</t>
  </si>
  <si>
    <t>2.1.1</t>
  </si>
  <si>
    <t>2.1.1.1</t>
  </si>
  <si>
    <t>2.1.1.2</t>
  </si>
  <si>
    <t>2.1.1.3</t>
  </si>
  <si>
    <t>2.1.1.4</t>
  </si>
  <si>
    <t>2.1.1.5</t>
  </si>
  <si>
    <t>2.1.1.6</t>
  </si>
  <si>
    <t>2.1.1.7</t>
  </si>
  <si>
    <t>2.1.1.8</t>
  </si>
  <si>
    <t>2.1.1.9</t>
  </si>
  <si>
    <t>2.1.1.10</t>
  </si>
  <si>
    <t>2.1.1.11</t>
  </si>
  <si>
    <t>2.1.1.12</t>
  </si>
  <si>
    <t>2.1.1.13</t>
  </si>
  <si>
    <t>2.1.2</t>
  </si>
  <si>
    <t>2.1.2.1</t>
  </si>
  <si>
    <t>2.1.2.2</t>
  </si>
  <si>
    <t>2.1.2.3</t>
  </si>
  <si>
    <t>2.1.2.4</t>
  </si>
  <si>
    <t>Partición interior de vidrio templado aluminio anodizado, (2.02m x 2.53m), (división módulo de ascensores nivel -4).</t>
  </si>
  <si>
    <t>2.1.2.5</t>
  </si>
  <si>
    <t>2.1.3</t>
  </si>
  <si>
    <t>2.1.3.1</t>
  </si>
  <si>
    <t>2.1.3.2</t>
  </si>
  <si>
    <t>Cerramiento fijo tipo louver en lamina de acero galvanizado calibre 18, para patinillo en muro de contención oeste, dimensión 1.50 x 3.08 m, acabado en pintura automotriz color gris grafito. Nivel -4 a -1</t>
  </si>
  <si>
    <t>2.1.3.3</t>
  </si>
  <si>
    <t xml:space="preserve">Suministro e instalación rejilla  tipo grating galvanizado de 3/16" x 1" 1/4 x 3 pies x 20 pies, antiresvaladizo para cierre de de piso en acero galvanizado,  para cierre de patinillo extracción de sotanos en el nivel de llegada. </t>
  </si>
  <si>
    <t>2.2.1</t>
  </si>
  <si>
    <t>2.2.1.1</t>
  </si>
  <si>
    <t>2.2.1.1.1</t>
  </si>
  <si>
    <t>2.2.1.1.2</t>
  </si>
  <si>
    <t>2.2.1.1.3</t>
  </si>
  <si>
    <t>2.2.1.1.4</t>
  </si>
  <si>
    <t>2.2.1.1.5</t>
  </si>
  <si>
    <t>2.2.1.1.6</t>
  </si>
  <si>
    <t>2.2.1.1.7</t>
  </si>
  <si>
    <t>2.2.1.1.8</t>
  </si>
  <si>
    <t>2.2.1.1.9</t>
  </si>
  <si>
    <t>2.2.1.1.10</t>
  </si>
  <si>
    <t>2.2.1.1.11</t>
  </si>
  <si>
    <t>2.2.1.1.12</t>
  </si>
  <si>
    <t>2.2.1.1.13</t>
  </si>
  <si>
    <t>2.2.1.1.14</t>
  </si>
  <si>
    <t>2.2.1.1.15</t>
  </si>
  <si>
    <t>2.2.1.1.16</t>
  </si>
  <si>
    <t>2.2.1.2</t>
  </si>
  <si>
    <t>2.2.1.2.1</t>
  </si>
  <si>
    <t>Cerramiento exterior (muro cortina del nivel de llegada)  en vidrio templado   de perfilería de aluminio anodizado color negro, (59.20 m x 2.915 m2), contiene dos puerta P12, una puerta P11 y 13.06 m2 de paneles en vidrio tipo spandrel . El vidrio es colocado delante de la perfilería. Ver detalles en hoja A4.106 a A4.108</t>
  </si>
  <si>
    <t>2.2.1.2.2</t>
  </si>
  <si>
    <t>Cerramiento exterior y techo de garita de control vehicular (1.42x3.03 y 2.57m de altura, incluye puerta P30), en vidrio templado color clear,  perfilería en aluminio anodizado, con tratamiento low-e. Ver detalle 4-6, hoja A4.01.072.</t>
  </si>
  <si>
    <t>2.2.1.2.3</t>
  </si>
  <si>
    <t>2.2.1.2.4</t>
  </si>
  <si>
    <t>2.2.1.2.5</t>
  </si>
  <si>
    <t>2.2.1.2.6</t>
  </si>
  <si>
    <t>2.2.1.2.7</t>
  </si>
  <si>
    <t>2.2.1.2.8</t>
  </si>
  <si>
    <t>2.2.1.2.9</t>
  </si>
  <si>
    <t>2.2.1.2.10</t>
  </si>
  <si>
    <t>2.2.1.2.11</t>
  </si>
  <si>
    <t>2.2.1.2.12</t>
  </si>
  <si>
    <t>2.2.1.2.13</t>
  </si>
  <si>
    <t>2.2.1.2.14</t>
  </si>
  <si>
    <t>2.2.1.2.15</t>
  </si>
  <si>
    <t>2.2.1.3</t>
  </si>
  <si>
    <t>2.2.1.3.1</t>
  </si>
  <si>
    <t>2.2.2</t>
  </si>
  <si>
    <t>NIVELES DEL 2 AL 6 DE OFICINAS</t>
  </si>
  <si>
    <t>2.2.2.1</t>
  </si>
  <si>
    <t>2.2.3</t>
  </si>
  <si>
    <t>2.2.3.1</t>
  </si>
  <si>
    <t>Cerramiento fachada modulo de servicios en azotea en vidrio templado, tratamiento low-e,  perfilería de aluminio anodizado color negro, 9.15 x 3.32 m .Contiene 6 paneles de vidrio fijo, la ventana V04, V05 y puerta P24. Ver detalle 4-6, hoja A4.104</t>
  </si>
  <si>
    <t>Cerramiento fachada modulo principal en azotea en vidrio templado, tratamiento low-e, perfilería de aluminio anodizado color negro, 11.85 x 3.32. Contiene a la puerta P25. Ver detalle 1-3, hoja A4.104</t>
  </si>
  <si>
    <t>Lucernario sobre hueco de escalera en vidrio templado, perfilería de aluminio anodizado color negro, 2.55 m x 2.55m</t>
  </si>
  <si>
    <t>3.1.1</t>
  </si>
  <si>
    <t xml:space="preserve">Suministro e instalacion de junta de expansión antisísmica de  0.22 m x 9.15 m , nivel 1 al 5 </t>
  </si>
  <si>
    <t>3.1.1.1</t>
  </si>
  <si>
    <t>Suministro e instalación de  juntas de expansión antisísmicas fabricada in situ con  placa o tapajunta de acero inoxidable rasante con el nivel de piso. Uso interior,  para paso peatonal , conexión losa a losa.Tamaño por nivel 0.22m de ancho x 3.83 m de longitud (incluye tramo de 2.93 m  para paso libre y tramo de 0.90 m para colocación de puerta  sobre o al lado de la placa).   Ancho máximo del tapajunta 0.52 m  y espesor minimo de 6 mm</t>
  </si>
  <si>
    <t>3.1.1.2</t>
  </si>
  <si>
    <t>Suministro e instalación de juntas de expansión antisísmicas fabricada in situ con  placa o tapajunta de acero inoxidable rasante con el nivel de piso. Uso interior,  para paso peatonal , conexión losa a losa.  Uso interior, para terminal en pared, conexión losa a pared. Tamaño por nivel  0.22m de ancho x 4.98 m de longitud (tramo de 4.57m y 0.41m). Ancho máximo del tapajunta 0.37 m  y espesor minimo de 6 mm</t>
  </si>
  <si>
    <t>3.1.2</t>
  </si>
  <si>
    <t>Suministro e instalacion de junta de expansión antisísmica de  0.22 m x 9.15 m , nivel 6</t>
  </si>
  <si>
    <t>3.1.2.1</t>
  </si>
  <si>
    <t>Suministro e instalación de  junta de expansión antisísmica  para cubierta, fabricada in Situ  con  placa o tapajunta de acero inoxidable rasante con el nivel de piso . Uso exterior (cubierta),  para paso peatonal , conexión losa a losa.Tamaño por nivel 0.22m de ancho x 2.40 m de longitud (debe permitir la colocación de puerta sobre o al lado de la placa).   Ancho máximo del tapajunta 0.52 m y espesor minimo de 6 mm</t>
  </si>
  <si>
    <t>3.1.2.2</t>
  </si>
  <si>
    <t>Suministro e instalación de junta de expansión antisísmica  para cubierta, fabricada in situ con  placa o tapajunta de acero inoxidable rasante con el nivel de piso. Uso interior,  para paso peatonal , conexión losa a losa. Uso exterior (cubierta), para terminal en pared, conexión losa a pared (adosado a perfilería de muro cortina). Tamaño por nivel  0.22m de ancho x 6.75 m de longitud ( tramo de 6.05 m y otro de 0.70 m ). Ancho máximo del tapajunta 0.37 m  y espesor minimo de 6 mm</t>
  </si>
  <si>
    <t>3.1.3</t>
  </si>
  <si>
    <t>Suministro e instalacion de junta de expansión vertical nivel 1 al 5</t>
  </si>
  <si>
    <t>3.1.3.1</t>
  </si>
  <si>
    <t>Juntas de expansión verticales para paredes (2 por nivel),  fabricadas in situ,  impermeable .Tamaño 0.22 m de ancho  x   4 m de altura por nivel ( a excepción del nivel 1 con 5.05 m ).  A colocarse entre dos perfiles de aluminio (marcos de ventanas) .</t>
  </si>
  <si>
    <t>3.1.3.2</t>
  </si>
  <si>
    <t>Tapajuntas de paredes para exterior, rasante con la fachada  (2 por nivel), en acero inoxidable o aluminio anodizado,  Tamaño  0.22 m de ancho y  4 m de altura,  ( a excepción del nivel 1 con 5.05 m )  resistente a rayos UV.  A colocarse entre dos perfiles de aluminio (marcos de ventanas) . Fijación mediante clip o tornillo.</t>
  </si>
  <si>
    <t>3.1.3.3</t>
  </si>
  <si>
    <t>Tapajuntas de paredes para interior rasante con la pared  (2 por nivel), en acero inoxidable o aluminio anodizado,  Tamaño  0.22 m de ancho y 4 m de altura  ( a excepción del nivel 1 con 5.05 m ).  A colocarse entre dos perfiles de aluminio (marcos de ventanas) .  Fijación mediante clip o tornillo.</t>
  </si>
  <si>
    <t>NOTAS GENERALES</t>
  </si>
  <si>
    <t>3.2.1</t>
  </si>
  <si>
    <t>REJILLAS DE PISO</t>
  </si>
  <si>
    <t>3.2.1.1</t>
  </si>
  <si>
    <t>Rejillas de piso cuadrada en acero en superficie de alto tránsito con dimensiones 10" x 10" x 2-3/8" (Parqueo sot-3@-1)</t>
  </si>
  <si>
    <t>ud</t>
  </si>
  <si>
    <t>3.2.1.2</t>
  </si>
  <si>
    <t>Rejillas de piso cuadrada en acero en superficie de alto tránsito con dimensiones 10" x 10" x 2-3/8" (Nivel 1)</t>
  </si>
  <si>
    <t>3.2.2</t>
  </si>
  <si>
    <t>APARATOS SANITARIOS</t>
  </si>
  <si>
    <t>3.2.2.1</t>
  </si>
  <si>
    <t>Inodoro de taza suspendida instalable directamente en el muro con tornillos de soporte no visibles, descarga ajustable de 0.9 a 1.6 galones con suministro de agua directo mediante fluxómetro de sensor. Niveles 1@7</t>
  </si>
  <si>
    <t>3.2.2.2</t>
  </si>
  <si>
    <t>Inodoro de pared con cisterna empotable. Taza compacta adosada a pared de tanque empotrable con sistema doble descarga con fluxómetro empotrado y placa de pulsador cromada. Niveles soterrados -1@-4</t>
  </si>
  <si>
    <t>Inodoro de pared con taza compacta adosada a pared  sistema doble descarga con tanque cisterna empotrado y placa de pulsador cromada. Nivel de llegada</t>
  </si>
  <si>
    <t>3.2.2.3</t>
  </si>
  <si>
    <t>Inodoro inteligente con sensores de descarga, tipo elongado, taza instalable directamente en el piso, descarga ajustable de 0.9 a 1.6 galones. Diseño sin tanque encima de taza. Oficina Administrativa (nivel 6).</t>
  </si>
  <si>
    <t>3.2.2.4</t>
  </si>
  <si>
    <t>Orinal operación en seco en cerámica vitrificada, sistema filtro sin cartucho, incluye colador removible, soporte de montaje universal. En niveles soterrados y niveles superiores.</t>
  </si>
  <si>
    <t>3.2.2.5</t>
  </si>
  <si>
    <t>Lavamanos cerámica vitrificada, ovalado, instalado bajo el tope similar a pileta, sin orificios para grifería. Bajo cubierta mate. Niveles 1@7</t>
  </si>
  <si>
    <t>3.2.2.6</t>
  </si>
  <si>
    <t>Lavamanos cerámica vitrificada, rectangular, instalado bajo el tope similar a pileta, sin orificios para grifería. Bajo cubierta mate. Oficina Administrativa (nivel 6).</t>
  </si>
  <si>
    <t>3.2.2.7</t>
  </si>
  <si>
    <t>Mezcladora lavamanos monomando, equipada con sensor infrarrojo a baterías, cromada. Niveles 1@7</t>
  </si>
  <si>
    <t>3.2.2.8</t>
  </si>
  <si>
    <t>Mezcladora lavamanos monomando alta, equipada con sensor infrarrojo a baterías, cromada. Oficina Administrativa (nivel 6).</t>
  </si>
  <si>
    <t>3.2.2.9</t>
  </si>
  <si>
    <t>Desagüe para lavabo con rebose hecho de latón sólido</t>
  </si>
  <si>
    <t>3.2.2.10</t>
  </si>
  <si>
    <t>Desagüe para piso</t>
  </si>
  <si>
    <t>3.2.2.11</t>
  </si>
  <si>
    <t>Fregadero sencillo, tamaño mediano, en acero inoxidable 304, bajo tope, 450x400x180mm.</t>
  </si>
  <si>
    <t>3.2.2.12</t>
  </si>
  <si>
    <t>Mezcladora fregadero monomando, cuello de 8", llave lateral cilíndrica</t>
  </si>
  <si>
    <t>3.2.2.13</t>
  </si>
  <si>
    <t>Vertedero (tipo plato de ducha en acero inoxidable)</t>
  </si>
  <si>
    <t>Cargador para vehículos eléctricos (4 UNID)</t>
  </si>
  <si>
    <t xml:space="preserve">Cables suministro eléctrico para ascensores y mano de obra </t>
  </si>
  <si>
    <t xml:space="preserve">Canalización y alimentación eléctrica sistema CCTV y control de acceso </t>
  </si>
  <si>
    <t>RESUMEN GENERAL PRESUPUESTO</t>
  </si>
  <si>
    <t>Niveles soterrados: -4, -3, -2, -1</t>
  </si>
  <si>
    <t>Niveles superiores: Llegada, +2, +3, +4, +5, +6, Azotea</t>
  </si>
  <si>
    <t>Actividades complementarias</t>
  </si>
  <si>
    <t xml:space="preserve">SUB-TOTAL COSTOS DIRECTOS (CD) RD$ </t>
  </si>
  <si>
    <t>COSTOS INDIRECTOS (CI) RD$</t>
  </si>
  <si>
    <t>Ley - 6/86 (Fondo Pensiones de los trabajadores de la Construccion)</t>
  </si>
  <si>
    <t>Seguro social y contra acidentes</t>
  </si>
  <si>
    <t>Transporte</t>
  </si>
  <si>
    <t>Gastos Administrativos</t>
  </si>
  <si>
    <t>Dirección Técnica y Responsabilidad Civil</t>
  </si>
  <si>
    <t>Codia</t>
  </si>
  <si>
    <t>Seguros todo riesgo construcción</t>
  </si>
  <si>
    <t>SUBTOTAL GENERAL (CD + CI)</t>
  </si>
  <si>
    <t>ITBIS (18% del 10% del subtotal general, norma 07 2007 DGII)</t>
  </si>
  <si>
    <t xml:space="preserve">TOTAL GENERAL RD$ </t>
  </si>
  <si>
    <t>Las cantidades de este presupuesto serán pagadas de acuerdo al levantamiento de obra a ser incluido en las cubicaciones realizadas por la supervision.</t>
  </si>
  <si>
    <t xml:space="preserve">El oferente NO podrá agregar o eliminar partidas ni alterar volumetrias de este Listado. </t>
  </si>
  <si>
    <t>El oferente deberá incluir el análisis de precio unitario a cada una de las partidas incluidas en el listado de partidas y cantidades.</t>
  </si>
  <si>
    <t>Estos análisis de precios unitarios deberán contener los materiales, mano de obra, equipos, herramientas y cualquer otro insumo requerido en las especificaciones técnicas indicadas para cada partida.</t>
  </si>
  <si>
    <t>3.4.1</t>
  </si>
  <si>
    <t>MATERIALES PARA LAS INSTALACIONES SANITARIAS</t>
  </si>
  <si>
    <t>DRENAJE SANITARIO NIVELES SOTERRADOS -4 AL -1</t>
  </si>
  <si>
    <t>CODO PVC DRENAJE DE 4" X 90º</t>
  </si>
  <si>
    <t>CODO PVC DRENAJE DE 3" X 90º</t>
  </si>
  <si>
    <t>CODO PVC DRENAJE DE 2" X 90º</t>
  </si>
  <si>
    <t>CODO PVC DRENAJE DE 4" X 45º</t>
  </si>
  <si>
    <t>CODO PVC DRENAJE DE 3" X 45º</t>
  </si>
  <si>
    <t>CODO PVC DRENAJE DE 2" X 45º</t>
  </si>
  <si>
    <t>YEE PVC DRENAJE DE 4"</t>
  </si>
  <si>
    <t>YEE PVC DRENAJE DE 4" X 2"</t>
  </si>
  <si>
    <t>YEE PVC DRENAJE DE 2"</t>
  </si>
  <si>
    <t>TYEE PVC DRENAJE DE 3" X 2"</t>
  </si>
  <si>
    <t>TYEE PVC DRENAJE DE 2"</t>
  </si>
  <si>
    <t>TEE PVC DRENAJE DE 4"</t>
  </si>
  <si>
    <t>TEE PVC DRENAJE DE 3"</t>
  </si>
  <si>
    <t>REDUCCION BUSH. PVC DRENAJE DE 4" X 3"</t>
  </si>
  <si>
    <t>REDUCCION BUSH. PVC DRENAJE DE 3" X 2"</t>
  </si>
  <si>
    <t>REDUCCION BUSH. PVC DRENAJE DE 2" X 1½"</t>
  </si>
  <si>
    <t>ARANDELA SANITARIA P/INODORO DE 4"</t>
  </si>
  <si>
    <t>SIFON PVC DE 2"</t>
  </si>
  <si>
    <t>ADAPTADOR MACHO PVC DE 2"</t>
  </si>
  <si>
    <t>REJILLA DE PISO DE 2"</t>
  </si>
  <si>
    <t>TAPON HEMBRA PVC DE 4"</t>
  </si>
  <si>
    <t>TAPON HEMBRA PVC DE 2"</t>
  </si>
  <si>
    <t>TUBO DE 4" X 19' PVC SDR-41</t>
  </si>
  <si>
    <t>TUBO DE 3" X 19' PVC SDR-41</t>
  </si>
  <si>
    <t>TUBO DE 2" X 19' PVC SDR-41</t>
  </si>
  <si>
    <t>CEMENTO PVC P/DRENAJE (GL.)</t>
  </si>
  <si>
    <t>THINNER (GL.)</t>
  </si>
  <si>
    <t>ESTOPA DE TELA (LB.)</t>
  </si>
  <si>
    <t>MASETA</t>
  </si>
  <si>
    <t>CINCEL</t>
  </si>
  <si>
    <t>HOJAS DE SEGUETA</t>
  </si>
  <si>
    <t>SOPORTERIA</t>
  </si>
  <si>
    <t>PRUEBAS DE ESTANQUEIDAD</t>
  </si>
  <si>
    <t>MATERIALES VARIOS, ROTURAS &amp; DESPERDICIOS</t>
  </si>
  <si>
    <t>3.4.1.1</t>
  </si>
  <si>
    <t>DRENAJE SANITARIO NIVELES SUPERIORES 1ER AL 7MO (TECHO)</t>
  </si>
  <si>
    <t>YEE PVC DRENAJE DE 3"</t>
  </si>
  <si>
    <t>YEE PVC DRENAJE DE 3" X 2"</t>
  </si>
  <si>
    <t>TEE PVC DRENAJE DE 3" X 2"</t>
  </si>
  <si>
    <t>TEE PVC DRENAJE DE 2"</t>
  </si>
  <si>
    <t>REDUCCION BUSH. PVC DRENAJE DE 4" X 2"</t>
  </si>
  <si>
    <t>TAPON REGISTRO PVC C/TAPA DE BRONCE DE 4"</t>
  </si>
  <si>
    <t>TAPON REGISTRO PVC C/TAPA DE BRONCE DE 2"</t>
  </si>
  <si>
    <t>3.4.1.2</t>
  </si>
  <si>
    <t>BAJANTES DE DESCARGA SANITARIA, GRASA Y COLUMNAS DE VENTILACIÓN</t>
  </si>
  <si>
    <t>TERMINAL DE VENTILACION DE 4"</t>
  </si>
  <si>
    <t>TERMINAL DE VENTILACION DE 3"</t>
  </si>
  <si>
    <t>3.4.1.3</t>
  </si>
  <si>
    <t>DRENAJE PLUVIAL Y BAJANTES PLUVIALES</t>
  </si>
  <si>
    <t>CODO PVC DRENAJE DE 6" X 90º</t>
  </si>
  <si>
    <t>CODO PVC SCH-40 DE 2" X 90º</t>
  </si>
  <si>
    <t>CODO PVC DRENAJE DE 6" X 45º</t>
  </si>
  <si>
    <t>CODO PVC SCH-40 DE 2" X 45º</t>
  </si>
  <si>
    <t>YEE PVC DRENAJE DE 6" X 4"</t>
  </si>
  <si>
    <t>YEE PVC DRENAJE DE 4" X 3"</t>
  </si>
  <si>
    <t>REDUCCION BUSH. PVC DRENAJE DE 6" X 3"</t>
  </si>
  <si>
    <t>REDUCCION BUSH. PVC SCH-40 DE 2" X 1½"</t>
  </si>
  <si>
    <t>ADAPTADOR MACHO PVC SCH-40 DE 1½"</t>
  </si>
  <si>
    <t>ADAPTADOR HEMBRA PVC DE 3"</t>
  </si>
  <si>
    <t>ADAPTADOR MACHO PVC DE 3"</t>
  </si>
  <si>
    <t>DESAGUE DE TECHO DE 3"</t>
  </si>
  <si>
    <t>DESAGUE DE PISO PARQUEO DE 3"</t>
  </si>
  <si>
    <t>TAPON HEMBRA PVC DE 3"</t>
  </si>
  <si>
    <t>TUBO DE 12" X 19' PVC SDR-41</t>
  </si>
  <si>
    <t>TUBO DE 2" X 19' PVC SCH-40</t>
  </si>
  <si>
    <t>PARRILLAS EN CANALETAS DE DESAGUE</t>
  </si>
  <si>
    <t>3.4.1.4</t>
  </si>
  <si>
    <t>SUMINISTRO DE AGUA FRÍA NIVELES SOTERRADOS -4 AL -1
(POLIPROPILENO)</t>
  </si>
  <si>
    <t>CODO PPR DE 3" X 90º</t>
  </si>
  <si>
    <t>CODO PPR DE 2" X 90º</t>
  </si>
  <si>
    <t>CODO PPR DE 1½" X 90º</t>
  </si>
  <si>
    <t>CODO PPR DE 1" X 90º</t>
  </si>
  <si>
    <t>CODO PPR DE 3/4" X 90º</t>
  </si>
  <si>
    <t>CODO PPR DE ½" X 90º</t>
  </si>
  <si>
    <t>CODO TERMINAL RH PPR 32MM X 1"</t>
  </si>
  <si>
    <t>CODO TERMINAL RH PPR 25MM X 3/4"</t>
  </si>
  <si>
    <t>CODO TERMINAL RH PPR 20MM X ½"</t>
  </si>
  <si>
    <t>NIPLE H.G. DE 1" X 4"</t>
  </si>
  <si>
    <t>NIPLE H.G. DE 3/4" X 4"</t>
  </si>
  <si>
    <t>NIPLE H.G. DE ½" X 4"</t>
  </si>
  <si>
    <t>TAPON MACHO H.G. DE 1"</t>
  </si>
  <si>
    <t>TAPON MACHO H.G. DE 3/4"</t>
  </si>
  <si>
    <t>TAPON MACHO H.G. DE ½"</t>
  </si>
  <si>
    <t>TEE PPR DE 2"</t>
  </si>
  <si>
    <t>TEE REDUCIDA PPR DE 1½" X 1"</t>
  </si>
  <si>
    <t>TEE REDUCIDA PPR DE 1½" X 3/4"</t>
  </si>
  <si>
    <t>TEE REDUCIDA PPR DE 1½" X ½"</t>
  </si>
  <si>
    <t>REDUCCION PPR DE 3" X 2"</t>
  </si>
  <si>
    <t>REDUCCION PPR DE 2" X 1½"</t>
  </si>
  <si>
    <t>REDUCCION PPR DE 1½" X 3/4"</t>
  </si>
  <si>
    <t>ADAPTADOR HEMBRA PPR DE 3/4"</t>
  </si>
  <si>
    <t>ADAPTADOR MACHO PPR DE 2"</t>
  </si>
  <si>
    <t>ADAPTADOR MACHO PPR DE 1½"</t>
  </si>
  <si>
    <t>ADAPTADOR MACHO PPR DE 1"</t>
  </si>
  <si>
    <t>PLATILLO PPR DE 3"</t>
  </si>
  <si>
    <t>JUNTA DE GOMA P/PLATILLOS DE 3"</t>
  </si>
  <si>
    <t>TORNILLO H.G. DE 5/8" X 3.5'</t>
  </si>
  <si>
    <t>VALVULA DE BOLA ROSC. DE 2"</t>
  </si>
  <si>
    <t>VALVULA DE BOLA ROSC. DE 1½"</t>
  </si>
  <si>
    <t>VALVULA DE BOLA ROSC. DE 1"</t>
  </si>
  <si>
    <t>TOMA DE MANGUERA DE ½"</t>
  </si>
  <si>
    <t>SUPRESOR DE GOLPE DE ARIETE DE 3/4"</t>
  </si>
  <si>
    <t>TAPON PPR DE 3"</t>
  </si>
  <si>
    <t>TAPON PPR DE 2"</t>
  </si>
  <si>
    <t>TAPON PPR DE 1½"</t>
  </si>
  <si>
    <t>TAPON PPR DE 1"</t>
  </si>
  <si>
    <t>TAPON PPR DE ½"</t>
  </si>
  <si>
    <t>MANGUITO PPR DE 3"</t>
  </si>
  <si>
    <t>MANGUITO PPR DE 2"</t>
  </si>
  <si>
    <t>MANGUITO PPR DE 1½"</t>
  </si>
  <si>
    <t>MANGUITO PPR DE 1"</t>
  </si>
  <si>
    <t>MANGUITO PPR DE 3/4"</t>
  </si>
  <si>
    <t>MANGUITO PPR DE ½"</t>
  </si>
  <si>
    <t>TUBO PPR DE 3" X 4MTS</t>
  </si>
  <si>
    <t>TUBO PPR DE 2" X 4MTS</t>
  </si>
  <si>
    <t>TUBO PPR DE 1½" X 4MTS</t>
  </si>
  <si>
    <t>TUBO PPR DE 1" X 4MTS</t>
  </si>
  <si>
    <t>TUBO PPR DE 3/4" X 4MTS</t>
  </si>
  <si>
    <t>TUBO PPR DE ½" X 4MTS</t>
  </si>
  <si>
    <t>CASQUILLO P/SOLDAR DE 3"</t>
  </si>
  <si>
    <t>CASQUILLO P/SOLDAR DE 2"</t>
  </si>
  <si>
    <t>CASQUILLO P/SOLDAR DE 1½"</t>
  </si>
  <si>
    <t>CASQUILLO P/SOLDAR DE 1"</t>
  </si>
  <si>
    <t>CASQUILLO P/SOLDAR DE 3/4"</t>
  </si>
  <si>
    <t>CASQUILLO P/SOLDAR DE ½"</t>
  </si>
  <si>
    <t>CORTATUBOS</t>
  </si>
  <si>
    <t>ROLLOS DE TEFLON</t>
  </si>
  <si>
    <t>ROLLO</t>
  </si>
  <si>
    <t>PRUEBAS HIDROSTATICAS</t>
  </si>
  <si>
    <t>3.4.1.5</t>
  </si>
  <si>
    <t>SUMINISTRO DE AGUA FRÍA NIVELES SUPERIORES 1ER AL 7MO (TECHO)
(POLIPROPILENO)</t>
  </si>
  <si>
    <t>TEE PPR DE 1½"</t>
  </si>
  <si>
    <t>TEE PPR DE 1"</t>
  </si>
  <si>
    <t>TEE PPR DE 3/4"</t>
  </si>
  <si>
    <t>TEE PPR DE ½"</t>
  </si>
  <si>
    <t>TEE REDUCIDA PPR DE 2" X 1"</t>
  </si>
  <si>
    <t>TEE REDUCIDA PPR DE 2" X 3/4"</t>
  </si>
  <si>
    <t>TEE REDUCIDA PPR DE 2" X ½"</t>
  </si>
  <si>
    <t>TEE REDUCIDA PPR DE 1" X 3/4"</t>
  </si>
  <si>
    <t>TEE REDUCIDA PPR DE 1" X ½"</t>
  </si>
  <si>
    <t>TEE REDUCIDA PPR DE 3/4" X ½"</t>
  </si>
  <si>
    <t>REDUCCION PPR DE 2" X 3/4"</t>
  </si>
  <si>
    <t>REDUCCION PPR DE 2" X ½"</t>
  </si>
  <si>
    <t>REDUCCION PPR DE 1½" X 1"</t>
  </si>
  <si>
    <t>REDUCCION PPR DE 1½" X ½"</t>
  </si>
  <si>
    <t>REDUCCION PPR DE 1" X ½"</t>
  </si>
  <si>
    <t>REDUCCION PPR DE 3/4" X ½"</t>
  </si>
  <si>
    <t>ADAPTADOR MACHO PPR DE ½"</t>
  </si>
  <si>
    <t>VALVULA DE BOLA ROSC. DE ½"</t>
  </si>
  <si>
    <t>3.4.1.6</t>
  </si>
  <si>
    <t>SUMINISTRO DE AGUA FRÍA COLUMNAS</t>
  </si>
  <si>
    <t>TEE REDUCIDA PPR DE 3" X 2"</t>
  </si>
  <si>
    <t>TEE REDUCIDA PPR DE 3" X 1½"</t>
  </si>
  <si>
    <t>TEE REDUCIDA PPR DE 3" X ½"</t>
  </si>
  <si>
    <t>TEE REDUCIDA PPR DE 2" X 1½"</t>
  </si>
  <si>
    <t>3.4.1.7</t>
  </si>
  <si>
    <t>MATERIALES PARA INSTALACIÓN DE APARATOS SANITARIOS</t>
  </si>
  <si>
    <t>RACOR MARCELLA M/H</t>
  </si>
  <si>
    <t>JUNTA DE CERA P/INODOROS</t>
  </si>
  <si>
    <t>TORNILLOS DE FIJACION P/BACINETA</t>
  </si>
  <si>
    <t>JGO</t>
  </si>
  <si>
    <t>SIFON P/LAVAMANOS DE 1½"</t>
  </si>
  <si>
    <t>COLA EXTENSION DE 1½" X 6"</t>
  </si>
  <si>
    <t>BOQUILLA AUTOMATICA METAL P/LAVAMANOS</t>
  </si>
  <si>
    <t>LLAVES ANGULARES AMERICANAS</t>
  </si>
  <si>
    <t>TUBO ACERO FLEXIBLE P/LAVAMANOS</t>
  </si>
  <si>
    <t>TUBO ACERO FLEXIBLE P/FREGADERO</t>
  </si>
  <si>
    <t>SIFÓN PARA FREGADERO</t>
  </si>
  <si>
    <t>CUBRE FALTA NIQUELADO DE ½"</t>
  </si>
  <si>
    <t>NIPLES NIQUELADOS DE ½"</t>
  </si>
  <si>
    <t>LLAVE DE CHORRO CROMADA DE ½"</t>
  </si>
  <si>
    <t>COUPLING NIQUELADO DE ½"</t>
  </si>
  <si>
    <t>NIPLE CROMADO DE ½" X 6"</t>
  </si>
  <si>
    <t>CUBREFALTA NIQUELADO DE ½"</t>
  </si>
  <si>
    <t>CEMENTO BLANCO (LB.)</t>
  </si>
  <si>
    <t>SILICON TRANSPARENTE ANTI-HONGO</t>
  </si>
  <si>
    <t>ROLLOS DE TEFLÓN</t>
  </si>
  <si>
    <t>EQUIPOS DE BOMBEO</t>
  </si>
  <si>
    <t>TUBERIAS &amp; PIEZAS P/INSTALACIÓN</t>
  </si>
  <si>
    <t>MANO DE OBRA</t>
  </si>
  <si>
    <t>MANO DE OBRA INSTALACIÓN HIDRO-SANITARIA</t>
  </si>
  <si>
    <t>3.4.2</t>
  </si>
  <si>
    <t>3.4.2.1</t>
  </si>
  <si>
    <t>3.4.3</t>
  </si>
  <si>
    <t>3.4.3.1</t>
  </si>
  <si>
    <t>ALIMENTADORES</t>
  </si>
  <si>
    <t>PIES DE CABLE ALIMENTADOR DESDE PANEL BOARD PB1 HASTA BY PASS DE 60A FORMADO POR: 3 THHN #8, (FASES), 1 THHN #8 (NEUTRO), 1 THHN #10 (TIERRA), EN TUBERÍA EMT 1"</t>
  </si>
  <si>
    <t>PIE</t>
  </si>
  <si>
    <t>PIES DE CABLE ALIMENTADOR DESDE BY PASS HASTA UPS 15KVA FORMADO POR: 3 THHN #8, (FASES), 1 THHN #8 (NEUTRO), 1 THHN #10 (TIERRA), EN TUBERÍA EMT 1"</t>
  </si>
  <si>
    <t>PIES DE CABLE ALIMENTADOR DESDE BY PASS HASTA PANEL PUPS 1 FORMADO POR: 2 THHN #8, (FASES), 1 THHN #8 (NEUTRO), 1 THHN #10 (TIERRA), EN TUBERÍA EMT 1"</t>
  </si>
  <si>
    <t>PIES DE CABLE  ALIMENTADOR DESDE BY PASS PANEL PUPS 2 FORMADO POR: 2 THHN #4, (FASES), 1 THHN #4 (NEUTRO), 1 THHN #8 (TIERRA), EN TUBERÍA EMT 1 1/2"</t>
  </si>
  <si>
    <t>PIES DE CABLE ALIMENTADOR DESDE PANEL BOARD PB1 HASTA PANEL PL1 FORMADO POR: 3 THHN #8, 1 THHN #8, 1 THHN #10 AWG, EN TUBERÍA EMT,PVC 1"</t>
  </si>
  <si>
    <t>PIES DE  CABLE  ALIMENTADOR DESDE PB A PANEL PAA1A FORMADO POR: 3 THHN #8, 1 THHN #8, 1 THHN #10 AWG, EN TUBERÍA EMT,PVC 1"</t>
  </si>
  <si>
    <t>PIES DE CABLE ALIMENTADOR DESDE PB1 HASTA PANEL PL2 FORMADO POR: 3 THHN #8, 1 THHN #8, 1 THHN #10 AWG, EN TUBERÍA EMT,PVC 1"</t>
  </si>
  <si>
    <t>PIES DE CABLE ALIMENTADOR DESDE PB1 HASTA PANEL PTC2 FORMADO POR: 3 THHN #6, 1 THHN #6, 1 THHN #10 AWG, EN TUBERÍA EMT,PVC 11/2"</t>
  </si>
  <si>
    <t>PIES DE CABLE ALIMENTADOR DESDE PANEL BOARD PB1 HASTA  PANEL PAA2A FORMADO POR: 3 THHN #8, 1 THHN #8, 1 THHN #10 AWG, EN TUBERÍA EMT,PVC 1"</t>
  </si>
  <si>
    <t>PIES DE CABLE CABLE ALIMENTADOR DESDE PANEL BOARD PB1 HASTA PANEL PAA2B FORMADO POR: 3 THHN #8, 1 THHN #8,  1 THHN #10 AWG, EN TUBERÍA EMT,PVC 1"</t>
  </si>
  <si>
    <t>PIES DE CABLE ALIMENTADOR DESDE PANEL BOARD PB A PANEBOARD PB2 FORMADO POR: 6 THHN #1/0, 1 THHN #3/0, 1 THHN #2, EN TUBERÍA EMT,PVC 3"</t>
  </si>
  <si>
    <t>PIES DE CABLE ALIMENTADOR DESDE PANEL BOARD PB3 HASTA BY PASS DE 125A FORMADO POR: 3 THHN #8, (FASES), 1 THHN #8 (NEUTRO), 1 THHN #10 (TIERRA), EN TUBERÍA EMT 1"</t>
  </si>
  <si>
    <t>PIES DE CABLE ALIMENTADOR DESDE BY PASS DE 125 A HASTA UPS 30KVA FORMADO POR: 3 THHN #8, (FASES), 1 THHN #8 (NEUTRO), 1 THHN #10 (TIERRA), EN TUBERÍA EMT 1"</t>
  </si>
  <si>
    <t>PIES DE CABLE ALIMENTADOR DESDE BY PASS DE 125 A HASTA  PANEL PUPS 3 FORMADO POR: 2 THHN #6, (FASES), 1 THHN #6 (NEUTRO), 1 THHN #10 (TIERRA), EN TUBERÍA EMT,PVC 11/2"</t>
  </si>
  <si>
    <t>PIES DE CABLE ALIMENTADOR DESDE BY PASS DE 125 A HASTA PANEL PUPS 4 FORMADO POR: 2 THHN #2, (FASES), 1 THHN #2 (NEUTRO), 1 THHN #6 (TIERRA), EN TUBERÍA EMT,PVC 2"</t>
  </si>
  <si>
    <t>PIES DE CABLE ALIMENTADOR DESDE PANEL BOARD PB1 HASTA PANEL PL3 FORMADO POR: 3 THHN #8, 1 THHN #8, 1 THHN #10 AWG, EN TUBERÍA EMT,PVC 1"</t>
  </si>
  <si>
    <t>PIES DE CABLE ALIMENTADOR DESDE PANEL BOARD PB2 HASTA PANEL PTC3 FORMADO POR: 3 THHN #4, 1 THHN #4, 1 THHN #8 AWG, EN TUBERÍA EMT,PVC 11/2"</t>
  </si>
  <si>
    <t>PIES DE CABLE ALIMENTADOR DESDE PANEL BOARD PB2 HASTA PANEL PAA3A FORMADO POR: 3 THHN #8, 1 THHN #8, 1 THHN #10 AWG, EN TUBERÍA EMT,PVC 1"</t>
  </si>
  <si>
    <t>PIES DE CABLE ALIMENTADOR DESDE PANEL BOARD PB2 HASTA PANEL PAA3B FORMADO POR: 3 THHN #8, 1 THHN #8, 1 THHN #10 AWG, EN TUBERÍA EMT,PVC 1"</t>
  </si>
  <si>
    <t>PIES DE CABLE ALIMENTADOR DESDE PANEL BOARD PB2 HASTA PANEL PL4 FORMADO POR: 3 THHN #8, 1 THHN #8, 1 THHN #10 AWG, EN TUBERÍA EMT,PVC 1"</t>
  </si>
  <si>
    <t>PIES DE CABLE ALIMENTADOR DESDE PANEL BOARD PB2 HASTA PANEL PTC4 FORMADO POR: 3 THHN #4, 1 THHN #4, 1 THHN #8 AWG, EN TUBERÍA EMT,PVC 11/2"</t>
  </si>
  <si>
    <t>PIES DE CABLE ALIMENTADOR DESDE PANEL BOARD PB2 HASTA PANEL PAA4A FORMADO POR: 3 THHN #8, 1 THHN #8, 1 THHN #10 AWG, EN TUBERÍA EMT,PVC 1"</t>
  </si>
  <si>
    <t>PIES DE  CABLE ALIMENTADOR DESDE PANEL BOARD PB2 HASTA PANEL PAA4B FORMADO POR: 3 THHN #8, 1 THHN #8, 1 THHN #10 AWG, EN TUBERÍA EMT,PVC 1"</t>
  </si>
  <si>
    <t>PIES DE CABLE ALIMENTADOR DESDE PANEL BOARD PB HASTA PANEBOARD PB3 FORMADO POR: 6 THHN #1/0, 1 THHN #3/0, 1 THHN #2, EN TUBERÍA EMT,PVC 3"</t>
  </si>
  <si>
    <t>PIES DE CABLE ALIMENTADOR BY PASS DE 80A FORMADO POR: 3 THHN #8, (FASES), 1 THHN #8 (NEUTRO), 1 THHN #10 (TIERRA), EN TUBERÍA EMT 1"</t>
  </si>
  <si>
    <t>PIES DE CABLE ALIMENTADOR DESDE BY PASS DE 80A HASTA UPS 20KVA FORMADO POR: 3 THHN #8, (FASES), 1 THHN #8 (NEUTRO), 1 THHN #10 (TIERRA), EN TUBERÍA EMT 1"</t>
  </si>
  <si>
    <t>PIES DE CABLE ALIMENTADOR DESDE BY PASS DE 80A HASTA PANEL PUPS 5 FORMADO POR: 2 THHN #4, (FASES), 1 THHN #4 (NEUTRO), 1 THHN #8 (TIERRA), EN TUBERÍA EMT,PVC 11/2"</t>
  </si>
  <si>
    <t>PIES DE CABLE ALIMENTADOR DESDE BY PASS DE 80A HASTA PANEL PUPS 6 FORMADO POR: 2 THHN #8, (FASES), 1 THHN #8 (NEUTRO), 1 THHN #10 (TIERRA), EN TUBERÍA EMT,PVC 1"</t>
  </si>
  <si>
    <t>PIES DE CABLE ALIMENTADOR DESDE PANEL BOARD PB3 HASTA PANEL PL5 FORMADO POR: 3 THHN #8, 1 THHN #8, 1 THHN #10 AWG, EN TUBERÍA EMT,PVC 1"</t>
  </si>
  <si>
    <t>PIES DE CABLE ALIMENTADOR DESDE PANEL BOARD PB3 HASTA PANEL PTC5 FORMADO POR: 3 THHN #4, 1 THHN #4, 1 THHN #8 AWG, EN TUBERÍA EMT,PVC 11/2"</t>
  </si>
  <si>
    <t>PIES DE CABLE ALIMENTADOR DESDE PANEL BOARD PB3 HASTA PANEL PAA5 FORMADO POR: 3 THHN #8, 1 THHN #8, 1 THHN #10 AWG, EN TUBERÍA EMT,PVC 1"</t>
  </si>
  <si>
    <t>PIES DE CABLE ALIMENTADOR DESDE PANEL BOARD PB3 HASTA PANEL PL6 FORMADO POR: 3 THHN #8, 1 THHN #8, 1 THHN #10 AWG, EN TUBERÍA EMT,PVC 1"</t>
  </si>
  <si>
    <t xml:space="preserve">PIES DE CABLE ALIMENTADOR DESDE PANEL BOARD PB3 HASTA PANEL PTC6 FORMADO POR: 3 THHN #4, 1 THHN #4, 1 THHN #8 AWG, EN TUBERÍA EMT,PVC 11/2" </t>
  </si>
  <si>
    <t>PIES DE CABLE ALIMENTADOR DESDE PANEL BOARD PB3 HASTA PANEL PAA6A FORMADO POR: 3 THHN #8, 1 THHN #8, 1 THHN #10 AWG, EN TUBERÍA EMT,PVC 1"</t>
  </si>
  <si>
    <t>PIES DE CABLE ALIMENTADOR DESDE PANEL BOARD PB3 HASTA PANEL PAA6B FORMADO POR: 3 THHN #8, 1 THHN #8, 1 THHN #10 AWG, EN TUBERÍA EMT,PVC 1"</t>
  </si>
  <si>
    <t>PIES DE CABLE ALIMENTADOR DESDE PANEL BOARD PB3 HASTA PANEL PAZ FORMADO POR: 3 THHN #8, 1 THHN #8, 1 THHN #10 AWG, EN TUBERÍA EMT,PVC 1"</t>
  </si>
  <si>
    <t>PIES DE CABLE ALIMENTADOR DESDE PANEL BOARD PB HASTA PANEBOARD PB4 FORMADO POR: 6 THHN #1/0, 1 THHN #3/0, 1 THHN #2, EN TUBERÍA EMT,PVC 3"</t>
  </si>
  <si>
    <t>PIES DE CABLE ALIMENTADOR  DESDE PANEL BOARD PB4 HASTA BY PASS DE 40A FORMADO POR: 3 THHN #8, (FASES), 1 THHN #8 (NEUTRO), 1 THHN #10 (TIERRA), EN TUBERÍA EMT 1"</t>
  </si>
  <si>
    <t>PIES DE CABLE ALIMENTADOR DESDE  BY PASS DE 40A HASTA UPS 8KVA FORMADO POR: 3 THHN #8, (FASES), 1 THHN #8 (NEUTRO), 1 THHN #10 (TIERRA), EN TUBERÍA EMT 1"</t>
  </si>
  <si>
    <t>PIES DE CABLE ALIMENTADOR DESDE  BY PASS DE 40A HASTA PANEL PUPS FORMADO POR: 2 THHN #8, (FASES), 1 THHN #8 (NEUTRO), 1 THHN #10 (TIERRA), EN TUBERÍA EMT,PVC 1"</t>
  </si>
  <si>
    <t>PIES DE CABLE ALIMENTADOR DESDE PANEL BOARD PB4 HASTA PANEL PS4 FORMADO POR: 3 THHN #8, (FASES), 1 THHN #8 (NEUTRO), 1 THHN #10 (TIERRA), EN TUBERÍA EMT,PVC 1"</t>
  </si>
  <si>
    <t>PIES DE CABLE ALIMENTADOR DESDE  BY PASS DE 40A HASTA PANEL PS3 FORMADO POR: 3 THHN #8, 1 THHN #8, 1 THHN #10 AWG, EN TUBERÍA EMT,PVC 1"</t>
  </si>
  <si>
    <t>PIES DE CABLE ALIMENTADOR DESDE PANEL BOARD PB4 HASTA PANEL PS2 FORMADO POR: 3 THHN #8, 1 THHN #8, 1 THHN #10 AWG, EN TUBERÍA EMT,PVC 1"</t>
  </si>
  <si>
    <t>PIES DE CABLE ALIMENTADOR DESDE PANEL BOARD PB4 HASTA PANEL PS1 FORMADO POR: 3 THHN #8, 1 THHN #8, 1 THHN #10 AWG, EN TUBERÍA EMT,PVC 1"</t>
  </si>
  <si>
    <t>PIES DE CABLE ALIMENTADOR DESDE PANEL BOARD PB4 HASTA PANEL PAA FORMADO POR: 3 THHN #8, 1 THHN #8, 1 THHN #10 AWG, EN TUBERÍA EMT,PVC 1"</t>
  </si>
  <si>
    <t>PIES DE CABLE ALIMENTADOR DESDE PANEL BOARD PB4 HASTA BOMBA DE AGUA 7.5HP FORMADO POR: 3 THHN #8, 1 THHN #10 AWG, EN TUBERÍA EMT,PVC 1"</t>
  </si>
  <si>
    <t>PIES DE CABLE ALIMENTADOR DESDE PANEL BOARD PB4 HASTA MONTACARGA 10 HP FORMADO POR: 3 THHN #4, 1 THHN #8 AWG, EN TUBERÍA EMT,PVC 11/2"</t>
  </si>
  <si>
    <t>PIES DE CABLE ALIMENTADOR DESDE PANEL BOARD PB4 HASTA ASCENSOR  7.5 HP FORMADO POR: 3 THHN #6, 1 THHN #10 AWG, EN TUBERÍA EMT,PVC 1"</t>
  </si>
  <si>
    <t>PIES DE CABLE ALIMENTADOR DESDE PANEL BOARD PB4 HASTA EXTRACTOR  5 HP FORMADO POR: 3 THHN #10, 1 THHN #14 AWG, EN TUBERÍA EMT,PVC 1"</t>
  </si>
  <si>
    <t>PIES DE CABLE ALIMENTADOR DESDE PANEL BOARD PB HASTA PANEBOARD PB5 FORMADO POR: 9 THHN #4/0, 2 THHN #4/0, 1 THHN #2, EN 2 TUBERÍAS EMT,PVC 4"</t>
  </si>
  <si>
    <t>PIES DE CABLE ALIMENTADOR DESDE PANEL BOARD PB5 HASTA EQUIPO 10HP FORMADO POR: 3 THHN #6, 1 THHN #12 AWG, EN TUBERÍA EMT,PVC 1"</t>
  </si>
  <si>
    <t>PIES DE CABLE ALIMENTADOR DESDE PANEL BOARD PB5 HASTA EQUIPO 14HP FORMADO POR: 3 THHN #4, 1 THHN #10 AWG, EN TUBERÍA EMT,PVC 1"</t>
  </si>
  <si>
    <t>PIES DE CABLE ALIMENTADOR DESDE PANEL BOARD PB5 HASTA EQUIPO 16HP FORMADO POR: 3 THHN #4, 1 THHN #10 AWG, EN TUBERÍA EMT,PVC 1"</t>
  </si>
  <si>
    <t>PIES DE CABLE ALIMENTADOR DESDE PANEL BOARD PB5 HASTA EQUIPO 18HP FORMADO POR: 3 THHN #2, 1 THHN #8 AWG, EN TUBERÍA EMT,PVC 2"</t>
  </si>
  <si>
    <t>PIES DE CABLE ALIMENTADOR DESDE PANEL BOARD PB HASTA PANEBOARD PB6 FORMADO POR: 9 THHN #4/0, 2 THHN #4/0, 1 THHN #2, EN 2 TUBERÍAS EMT,PVC 4"</t>
  </si>
  <si>
    <t>PIES DE CABLE ALIMENTADOR DESDE PANEL BOARD PB6 HASTA EQUIPO 8HP FORMADO POR: 3 THHN #8, 1 THHN #12 AWG, EN TUBERÍA EMT,PVC 1"</t>
  </si>
  <si>
    <t>PIES DE CABLE ALIMENTADOR DESDE PANEL BOARD PB6 HASTA EQUIPO 10HP FORMADO POR: 3 THHN #6, 1 THHN #12 AWG, EN TUBERÍA EMT,PVC 1"</t>
  </si>
  <si>
    <t>PIES DE CABLE ALIMENTADOR DESDE PANEL BOARD PB6 HASTA EQUIPO 14HP FORMADO POR: 3 THHN #4, 1 THHN #10 AWG, EN TUBERÍA EMT,PVC 1"</t>
  </si>
  <si>
    <t>PIES DE CABLE ALIMENTADOR  DESDE PANEL BOARD PB6 HASTA EQUIPO 16HP FORMADO POR: 3 THHN #4, 1 THHN #10 AWG, EN TUBERÍA EMT,PVC 11/2"</t>
  </si>
  <si>
    <t>PIES DE CABLE ALIMENTADOR DESDE PANEL BOARD PB6 HASTA EQUIPO 18HP FORMADO POR: 3 THHN #2, 1 THHN #8 AWG, EN TUBERÍA EMT,PVC 2"</t>
  </si>
  <si>
    <t>SUMINISTRO E INSTALACIÓN DE PANEL BOARD, PANELES Y BREAKERS</t>
  </si>
  <si>
    <t>INTERRUPTOR DE TRANSFERENCIA AUTOMATICA  DE 2000A/3P, 120/208V, NEMA 1</t>
  </si>
  <si>
    <t>UN</t>
  </si>
  <si>
    <t>PANEL BOARD PB, BARRA DE 2500 AMP. 3F, 120-208 VOLTIOS, CON UN M.B 2000 A/3P,NEMA 1 FORMADO POR: 1 BRK 200A/3P, 2 BRKS 250A/3P, 1 BRK 300A/3P Y 2 BRKS  400A/3P. BARRA PARA ATERRIZAJE 125 A</t>
  </si>
  <si>
    <t>PANEL BOARD PB-1 , BARRAS DE 225 AMP, 3F, 120-208V, M.B 200A/3P. NEMA 1, FORMADO POR: 3 BRKS 30A/3P, 3 BRKS 40A/3P, Y 2 BRKS 60A/3P. BARRA PARA ATERRIZAJE 100 AMP.</t>
  </si>
  <si>
    <t>PANEL BOARD PB-2  , BARRAS DE 300 AMP, 3F, 120-208V, M.B 250A/3P. NEMA 1, FORMADO POR: 4 BRKS 30A/3P, 2 BRKS 40A/3P, 1 BRK 70A/3P,1 BRK 80A/3P Y 1 BRK 125A/3P. BARRA PARA ATERRIZAJE 150 AMP.</t>
  </si>
  <si>
    <t>PANEL BOARD PB-3, BARRAS DE 300 AMP, 3F, 120-208V, M.B 300A/3P. NEMA 1, FORMADO POR: 4 BRKS 30A/3P, 3 BRKS 40A/3P, 3 BRK 80A/3P. BARRA PARA ATERRIZAJE 150 AMP.</t>
  </si>
  <si>
    <t>PANEL BOARD PB-4 , BARRAS DE 300 AMP, 3F, 120-208V, M.B 300A/3P. NEMA 1, FORMADO POR: 7 BRKS 30A/3P, 5 BRKS 40A/3P, 5 BRKS 60A/3P Y 1 BRK 80A/3P. BARRA PARA ATERRIZAJE 150 AMP</t>
  </si>
  <si>
    <t>PANEL BOARD PB-5, BARRAS DE 450 AMP, 3F, 120-208V, M.B 400A/3P. NEMA 1, FORMADO POR: 2 BRKS 60A/3P, 6 BRKS 80A/3P, 3 BRKS 90A/3P.  BARRA PARA ATERRIZAJE 200 AMP.</t>
  </si>
  <si>
    <t>PANEL BOARD PB-6 , BARRAS DE 450 AMP, 3F, 120-208V, M.B 400A/3P. NEMA 1, FORMADO POR: 1 BRKS 40A/3P, 4 BRKS 60A/3P, 4 BRKS 80A/3P Y 3 BRKS 90A/3P.   BARRA PARA ATERRIZAJE 200 AMP</t>
  </si>
  <si>
    <t xml:space="preserve">PANEL PUPS1 , 120/208 V , 125 A,  8 CIRCUITOS, 1F, CON 4 BKRS. DE 20A/1P                                                                                      </t>
  </si>
  <si>
    <t xml:space="preserve">PANEL PUPS2 , 120/208 V , 125 A,  24 CIRCUITOS, 1F, CON 10 BKRS. DE 20A/1P                                                                                      </t>
  </si>
  <si>
    <t xml:space="preserve">PANEL PL1 , 120/208 V , 125 A,,  18 CIRCUITOS, 3F, CON 15 BKRS. DE 20A/1P                                                                                      </t>
  </si>
  <si>
    <t xml:space="preserve">PANEL PTC1 , 120/208 V , 125 A,  18 CIRCUITOS, 3F, CON  9 BKRS. DE 20A/1P                                                                                      </t>
  </si>
  <si>
    <t xml:space="preserve">PANEL PAA1 , 120/208 V , 200 A,  42 CIRCUITOS, 3F, CON 17 BKRS. DE 20A/2P                                                                                      </t>
  </si>
  <si>
    <t xml:space="preserve">PANEL PL2 , 120/208 V , 125 A,  18 CIRCUITOS, 3F, CON 17 BKRS. DE 20A/1P                                                                                      </t>
  </si>
  <si>
    <t xml:space="preserve">PANEL PTC2 , 120/208 V ,125 A,  24 CIRCUITOS, 3F, CON 17 BKRS. DE 20A/1P                                                                                      </t>
  </si>
  <si>
    <t xml:space="preserve">PANEL PAA2A , 120/208 V , 200 A,  42 CIRCUITOS, 3F, CON 14 BKRS. DE 20A/2P                                                                                      </t>
  </si>
  <si>
    <t xml:space="preserve">PANEL PAA2B , 120/208 V , 200A,  42 CIRCUITOS, 3F, CON  14 BKRS. DE 20A/2P                                                                                      </t>
  </si>
  <si>
    <t xml:space="preserve">PANEL PUPS3, 120/208 V , 125 A,  18 CIRCUITOS, 1F, CON 9 BKRS. DE 20A/1P                                                                                      </t>
  </si>
  <si>
    <t xml:space="preserve">PANEL PUPS4 , 120/208 V , 125 A,  24 CIRCUITOS, 1F, CON  17 BKRS. DE 20A/1P                                                                                      </t>
  </si>
  <si>
    <t xml:space="preserve">PANEL PL3 , 120/208 V , 125 A,  18 CIRCUITOS, 3F, CON 16 BKRS. DE 20A/1P                                                                                      </t>
  </si>
  <si>
    <t xml:space="preserve">PANEL PTC3 , 120/208 V , 125 A, 24 CIRCUITOS, 3F, CON 16 BKRS. DE 20A/1P                                                                                      </t>
  </si>
  <si>
    <t xml:space="preserve">PANEL PAA3A , 120/208 V , 200 A,  42 CIRCUITOS, 3F, CON  17 BKRS. DE 20A/2P                                                                                      </t>
  </si>
  <si>
    <t xml:space="preserve">PANEL PAA3B , 120/208 V , 200 A,  42 CIRCUITOS, 3F, CON 18 BKRS. DE 20A/2P                                                                                      </t>
  </si>
  <si>
    <t xml:space="preserve">PANEL PL4 , 120/208 V , 125 A,  18 CIRCUITOS, 3F, CON 15 BKRS. DE 20A/1P                                                                                      </t>
  </si>
  <si>
    <t xml:space="preserve">PANEL PTC4, 120/208 V ,125 A,  24 CIRCUITOS, 3F, CON  21 BKRS. DE 20A/1P                                                                                      </t>
  </si>
  <si>
    <t xml:space="preserve">PANEL PAA4A , 120/208 V , 200 A,  42 CIRCUITOS, 3F, CON  15 BKRS. DE 20A/2P                                                                                      </t>
  </si>
  <si>
    <t xml:space="preserve">PANEL PAA4B , 120/208 V , 200 A,  42 CIRCUITOS, 3F, CON  13 BKRS. DE 20A/2P                                                                                      </t>
  </si>
  <si>
    <t xml:space="preserve">PANEL PUPS5, 120/208 V , 200 A,  24 CIRCUITOS, 1F, CON 14 BKRS. DE 20A/1P                                                                                      </t>
  </si>
  <si>
    <t>PANEL PUPS6 , 120/208 V , 125 A,  12 CIRCUITOS, 1F, CON  5 BKRS. DE 20A/1P</t>
  </si>
  <si>
    <t xml:space="preserve">PANEL PL5 , 120/208 V , 125 A,  18 CIRCUITOS, 3F, CON  15 BKRS. DE 20A/1P                                                                                      </t>
  </si>
  <si>
    <t xml:space="preserve">PANEL PTC5 , 120/208 V , 125 A,  24 CIRCUITOS, 3F, CON 21 BKRS. DE 20A/1P                                                                                      </t>
  </si>
  <si>
    <t xml:space="preserve">PANEL PAA5A , 120/208 V , 200 A,  42 CIRCUITOS, 3F, CON 17 BKRS. DE 20A/2P                                                                                      </t>
  </si>
  <si>
    <t xml:space="preserve">PANEL PAA5B , 120/208 V , 200 A,  42 CIRCUITOS, 3F, CON  18 BKRS. DE 20A/2P                                                                                      </t>
  </si>
  <si>
    <t xml:space="preserve">PANEL PL6 , 120/208 V , 125 A,  18 CIRCUITOS, 3F, CON 14 BKRS. DE 20A/1P                                                                                      </t>
  </si>
  <si>
    <t>PANEL PTC6, 120/208 V , 125 A,  18 CIRCUITOS, 3F, CON  18 BKRS. DE 20A/1P</t>
  </si>
  <si>
    <t>PANEL PAA6A , 120/208 V , 200 A,  30 CIRCUITOS, 3F, CON   12 BKRS. DE 20A/2P</t>
  </si>
  <si>
    <t xml:space="preserve">PANEL PAA6B , 120/208 V , 200 A,  30 CIRCUITOS, 3F, CON  12 BKRS. DE 20A/1P                                                                                      </t>
  </si>
  <si>
    <t>PANEL PAZ , 120/208 V , 125 A,  18 CIRCUITOS, 3F, CON 17 BKRS. DE 20A/1P</t>
  </si>
  <si>
    <t xml:space="preserve">PANEL PUPSS, 120/208 V , 125 A,  18 CIRCUITOS, 1F, CON 8 BKRS. DE 20A/1P                                                                                      </t>
  </si>
  <si>
    <t xml:space="preserve">PANEL PS1 , 120/208 V , 125 A,  18  CIRCUITOS, 3F, CON 12 BKRS. DE 20A/1P                                                                                      </t>
  </si>
  <si>
    <t xml:space="preserve">PANEL PS2 , 120/208 V , 125 A,  18 CIRCUITOS, 3F, CON 11 BKRS. DE 20A/1P                                                                                      </t>
  </si>
  <si>
    <t xml:space="preserve">PANEL PS3 , 120/208 V , 125 A,  18 CIRCUITOS, 3F, CON  11 BKRS. DE 20A/1P                                                                                      </t>
  </si>
  <si>
    <t>PANEL PS3 , 120/208 V , 125 A,  18 CIRCUITOS, 3F, CON  11 BKRS. DE 20A/1P</t>
  </si>
  <si>
    <t xml:space="preserve">PANEL PAA , 120/208 V , 200 A,  42 CIRCUITOS, 3F, CON  11 BKRS. DE 20A/2P                                                                                      </t>
  </si>
  <si>
    <t>ENCLOSED CIRCUIT BREAKER BOMBA DE AGUA 7.5 HP</t>
  </si>
  <si>
    <t>ENCLOSED CIRCUIT BREAKER ASCENSOR DE CARGA  10 HP</t>
  </si>
  <si>
    <t>ENCLOSED CIRCUIT BREAKER ASCENSOR 7.5 HP</t>
  </si>
  <si>
    <t>ENCLOSED CIRCUIT BREAKER INJECTOR  15 HP</t>
  </si>
  <si>
    <t>ENCLOSED CIRCUIT BREAKER EXTRACTOR  15 HP</t>
  </si>
  <si>
    <t>ENCLOSED CIRCUIT BREAKER EQUIPO AA 10 HP</t>
  </si>
  <si>
    <t>ENCLOSED CIRCUIT BREAKER EQUIPO AA 14 HP</t>
  </si>
  <si>
    <t>ENCLOSED CIRCUIT BREAKER EQUIPO AA 16 HP</t>
  </si>
  <si>
    <t>ENCLOSED CIRCUIT BREAKER EQUIPO AA 18 HP</t>
  </si>
  <si>
    <t>ENCLOSED CIRCUIT BREAKER EQUIPO AA 8 HP</t>
  </si>
  <si>
    <t>MEDIA TENSIÓN</t>
  </si>
  <si>
    <t>INTERCONEXIÓN</t>
  </si>
  <si>
    <t>ELBOW CONECTOR</t>
  </si>
  <si>
    <t>Uds.</t>
  </si>
  <si>
    <t>CABLE URD NO.2 NEUTRO AL 33.3% CONCENTRICO, DESDE POSTE HASTA TRANSFORMADOR.</t>
  </si>
  <si>
    <t>PL</t>
  </si>
  <si>
    <t>Ud.</t>
  </si>
  <si>
    <t>ABRAZADERA PERNO 5/8" R-1116</t>
  </si>
  <si>
    <t>ADAPTADOR MACHO PVC 3"</t>
  </si>
  <si>
    <t>AISLADOR POLIMERICO SUSPENCION 15 KV</t>
  </si>
  <si>
    <t xml:space="preserve">ALAMBRE COBRE DESNUDO STRAN 19 HILOS # 02 </t>
  </si>
  <si>
    <t>ARANDELA DE PRESIÓN  DE 1/2"GALVANIZADA</t>
  </si>
  <si>
    <t>ARANDELA DE PRESIÓN  DE 3/8" GALVANIZADA</t>
  </si>
  <si>
    <t>ARANDELA DE PRESIÓN  DE 5/8" GALVANIZADA</t>
  </si>
  <si>
    <t>ARANDELAS  PLANA 5/16</t>
  </si>
  <si>
    <t>ARANDELAS 2"X2 "DE   (½") GALVANIZADA</t>
  </si>
  <si>
    <t>ARANDELAS 2¼"X2¼"DE 11/16 ( 5/8") GALVANIZADA</t>
  </si>
  <si>
    <t>CONDULET EMT 3"</t>
  </si>
  <si>
    <t>CONEC. CUÑA 4/0 C/CART Y ESTRIBO</t>
  </si>
  <si>
    <t>CONECTOR DE CUÑA 2/0-- #2</t>
  </si>
  <si>
    <t>CONECTOR DE CUÑA 2/0-- 2/0</t>
  </si>
  <si>
    <t>CONO DE ALIVIO P/EXTERIOR #2-1/0</t>
  </si>
  <si>
    <t>CRUCETA DE ACERO GALVANIZADA 5', 7"</t>
  </si>
  <si>
    <t>CURVA CONDUIT PVC 3"</t>
  </si>
  <si>
    <t>ESPIGA PARA CONO DE ALIVIO #2- 1/0</t>
  </si>
  <si>
    <t>FLEJES GALVANIZADOS DE 28'</t>
  </si>
  <si>
    <t>GRAPA CALIENTE 2/0</t>
  </si>
  <si>
    <t>GRAPA DE CONEXION DOBLE VÍA 5/8" GALV.(JUEGO)</t>
  </si>
  <si>
    <t>GRAPA RETENCIÓN  2/0 - 4/0, AWG, 400L, SEGÚN CALIBRE CONDUCTOR</t>
  </si>
  <si>
    <t>GRAPA RETENCIÓN  6 - 2/0, AWG, 4000L, SEGÚN CALIBRE CONDUCTOR</t>
  </si>
  <si>
    <t>POSTES H.A.V 12 / 500 DAN</t>
  </si>
  <si>
    <t>RIEL UNISTRUP DE 3/4 X 6 PIES</t>
  </si>
  <si>
    <t xml:space="preserve">SOPORTE P/TERMINAL URD #2, TRIFÁSICO </t>
  </si>
  <si>
    <t>TORNILLO DE ESPACIAMIENTO 4 TUERCA 5/8X12</t>
  </si>
  <si>
    <t>TORNILLO GALVANIZADO DE  1/2X12</t>
  </si>
  <si>
    <t>TORNILLO GALVANIZADO DE  5/8X12</t>
  </si>
  <si>
    <t>TORNILLO GALVANIZADO DE 3/8" X 2"</t>
  </si>
  <si>
    <t>TORNILLO TIRAFONDO CABEZA EXAGONAL 3/8"X2"</t>
  </si>
  <si>
    <t>TUBO CONDUIT GALV. IMC 3"X10"</t>
  </si>
  <si>
    <t>TUBO CONDUIT PVC 3" X19 SDR-26( PIE )</t>
  </si>
  <si>
    <t>TUERCA CUADRADA GALVANIZADA 5/8" ABI</t>
  </si>
  <si>
    <t>TUERCA DE OJO 5/8</t>
  </si>
  <si>
    <t>SISTEMA FOTOVOLTÁICO</t>
  </si>
  <si>
    <t>SUMINISTRO DE PANELES FOTOVOLTÁICOS DE 275 WP.</t>
  </si>
  <si>
    <t>SUMINISTRO E INSTALACION DE INVERSORES DE 15 KWN.</t>
  </si>
  <si>
    <t>ESTRUCTURA DE SOPORTE</t>
  </si>
  <si>
    <t>SUMINISTRO E INSTALACION DE ESTRUCTURA SOPORTE FABRICADA EN ALUMINIO PARA LA INSTALACION DE 130 MODULOS FOTOVOLTAICOS. SEGÚN EL DISEÑO, PRESENTADO CALCULADA PARA RESISTIR VIENTOS DE 240KPH, CATEGORIA HURACANADA NIVEL IV.</t>
  </si>
  <si>
    <t>INSTALACIÓN ELÉCTRICA</t>
  </si>
  <si>
    <t>INSTALACION ELECTRICA DEL SISTEMA QUE INCLUYE:
INSTALACION Y CONEXIÓN DE LOS MODULOS.
SUMINISTRO, INSTALACION Y FIJACION DE LAS BANDEJAS DE CABLEADO DE CC.
INSTALACION Y FIJACION DE LOS INVERSORES FOTOVOLTAICOS.
SUMINISTRO E INSTALACION DEL CABLEADO DESDE PANELES HASTA INVERSORES Y UNIDADES DE CONTROLES.
INSTALACION DE CABLEADO DE CA HASTA EL PUNTO DE CONEXIÓN, INCLUYE FIJACION DE EQUIPOS, PUESTA A TIERRA, CONECTORES, ETC.</t>
  </si>
  <si>
    <t xml:space="preserve">INSTALACIÓN Y SUMINISTRO   DE PROTECCIÓN  CONTRA RAYOS  DE ACUERDO  A ESTAS ESPECIFICACIONES Y A LOS PLANOS DEL PROYECTO. </t>
  </si>
  <si>
    <t>SUMINISTRO E INSTALACIÓN DE SALIDA PARA LUZ CENITAL A RAS DEL TECHO</t>
  </si>
  <si>
    <t>SUMINISTRO E INSTALACIÓN DE SALIDA PARA LUZ COLGANTE</t>
  </si>
  <si>
    <t>SUMINISTRO E INSTALACIÓN DE LUMINARÍA DECORATIVA COLGANTE LED , (DOWNLIGHT REDONDO DE APROX 20-25 CM DE DIAMETRO)  6000 LUMENES, 120-277, COLOR GRIS, DIMMABLE.</t>
  </si>
  <si>
    <t>SUMINISTRO E INSTALACIÓN DE LUMINARÍA DECORATIVA COLGANTE LED , (DOWNLIGHT REDONDO DE APROX 10-12 CM DE DIAMETRO)  6000 LUMENES, 120-277, COLOR GRIS, DIMMABLE, 12.5 W</t>
  </si>
  <si>
    <t>SUMINISTRO E INSTALACIÓN DE LUMINARIA LED PARA SUPERFICIE DE 50W</t>
  </si>
  <si>
    <t>SUMINISTRO E INSTALACIÓN DE LUMINARÍA 2'X2', DE SUPERFICIE PANEL LED, 3400 LUMENES, 5000-6000 K, DE 0 A 10 DIMMABLE, DE 32 W, COLOR GRIS</t>
  </si>
  <si>
    <t>SUMINISTRO E INSTALACIÓN  DE LUMINARÍA  LINEAL  LED, DE 4´,  TIPO  ESTANCA (PARA ESTACIONAMIENTOS,) DE 56W,CANOPY,  120-277V, 5000K, 6878 LUMENES. SOPORTES DE MONTAJE Y PESTILLOS DE ACERO INXOXIDABLE.</t>
  </si>
  <si>
    <t>SUMINISTRO E INSTALACIÓN  DE LUMINARÍA  DECORATIVA  LED, DE SUPERFICIE, (TIPO DOWNLIGHT REDONDO DE APROX.  20-25 CM DE DM PARA ESTACIONAMIENTOS)DE 56W, 120-277V, 5000K, 6878 LUMENES.</t>
  </si>
  <si>
    <t>SUMINISTRO E INSTALACIÓN DE LAMPARA LINEAL  FLUORESCENTE DE 2 TUBO T-8 , DE SUPERFICIE CON DIFUSOR ENVOLVENTE  PARA INTERIOR, DE 56W,  , 5000-6000 K.</t>
  </si>
  <si>
    <t>SUMINISTRO E INSTALACIÓN DE SALIDA DE DATA.</t>
  </si>
  <si>
    <t>SUMINISTRO E INSTALACIÓN DE TOMACORRIENTE DOBLE POLARIZADO, 120 V</t>
  </si>
  <si>
    <t>SUMINISTRO E INSTALACIÓN DE TOMACORRIENTE PARA UPS, 120 V.</t>
  </si>
  <si>
    <t>SUMINSTRO E INSTALACIÓN DE TOMACORRIENTE A ALTURA  DE MESETA 120 V</t>
  </si>
  <si>
    <t>SUMINISTRO E INSTALACIÓN SALIDA DE INTERRUPTOR SENCILLO</t>
  </si>
  <si>
    <t>SUMINISTRO E INSTALACIÓN SALIDA DE INTERRUPTOR DOBLE</t>
  </si>
  <si>
    <t>SUMINISTRO E INSTALACIÓN SALIDA DE INTERRUPTOR 3 VÍAS</t>
  </si>
  <si>
    <t>SUMINISTRO E INSTALACIÓN SALIDA DE INTERRUPTOR 4 VÍAS</t>
  </si>
  <si>
    <t>SUMINISTRO E INSTALACIÓN SALIDA DE INTERRUPTOR 2 VÍAS</t>
  </si>
  <si>
    <t>REGISTRO METÁLICO EN TOLA PINTADA 10'' X 10'' X 6''</t>
  </si>
  <si>
    <t>REGISTRO 30''X30''X8'', PATINILLO ELÉCTRICO Y DE DATA</t>
  </si>
  <si>
    <t>SUMINISTRO E INSTALACIÓN DE LUMINARÍA DECORATIVA COLGANTE LED (DOWNLIGHT REDONDO DE APROX 20-25 CM DE DIME)  6000 LUMENES, 120-277, COLOR GRIS, DIMMABLE.</t>
  </si>
  <si>
    <t>SUMINISTRO E INSTALACIÓN DE LUMINARÍA DECORATIVA COLGANTE LED , (DOWNLIGHT REDONDO DE APROX 10-12 CM DE DIME)  6000 LUMENES, 120-277, COLOR GRIS, DIMMABLE, 12.5 W</t>
  </si>
  <si>
    <t>SUMINISTRO E INSTALACIÓN  DE LUMINARÍA  DECORATIVA  LED, DE SUPERFICIE, (TIPO DOWNLIGHT REDONDO DE APROX.  20-25 CM DE DM PARA ESTACIONAMIENTOS)DE 56W, 120-277V, 5000K, 6878 LUMENES</t>
  </si>
  <si>
    <t>SUMINISTRO E INSTALACIÓN DE LAMPARA LINEAL  FLUORESCENTE DE 2 TUBO T-8 , DE SUPERFICIE CON DIFUSOR ENVOLVENTE  PARA INTERIOR, DE 56W,  , 5000-6000 K</t>
  </si>
  <si>
    <t>INSTALACIONES ELÉCTRICAS
 NIVEL SOTERRADO -1</t>
  </si>
  <si>
    <t>INSTALACIONES ELÉCTRICAS
 NIVELES SOTERRADOS -4, -3, -2</t>
  </si>
  <si>
    <t>INSTALACIONES ELÉCTRICAS
NIVELES DE LLEGADA HASTA EL 5TO PISO</t>
  </si>
  <si>
    <t>SUMINISTRO E INSTALACIÓN DE SALIDA PARA LUZ COLGANTE:</t>
  </si>
  <si>
    <t>SUMINISTRO E INSTALACIÓN DE SALIDA PARA LUZ DE PARED</t>
  </si>
  <si>
    <t>SUMINISTRO E INSTALACIÓN DE SALIDA PARA LUZ DE PISO</t>
  </si>
  <si>
    <t>SUMINISTRO E INSTALACIÓN DE LUMINARÍA DECORATIVA  LED , 6000 LUMENES, 120-277, COLOR GRIS, DIMMABLE.</t>
  </si>
  <si>
    <t xml:space="preserve">SUMINISTRO E INSTALACIÓN DE LUMINARÍA DECORATIVA LED  DE SUPERFICIE, (DOWNLIGHT REDONDO DE APROX. 10-12 CM DE DM Y ALTURA), 6000 LUMENES, 120-277 V, COLOR GRIS, DIMMABLE, 12.5 W       </t>
  </si>
  <si>
    <t>SUMINISTRO E INSTALACIÓN DE LUMINARÍA TIPO  BAÑADOR LED RGB CON PIVOTE, TAMAÑO  APROX. ≤  A  35CM X 35 CM) 100-277 V, 3000-3500 LUMENES,  DISPONIBLE PAR USO CON DMX. (USO: ILUMINACIÓN RGB DE LA FACHADA DESDE EL INTERIOR )</t>
  </si>
  <si>
    <t>SUMINISTRO E INSTALACIÓN DE LUMINARÍA DE SUPERFICIE LED, REDONDA ≤ 35 CM  DE DM, 3400 LUMENES, 5000-6000 K, DE 0 A 10 DIMMABLE, DE 32 W, COLOR GRIS</t>
  </si>
  <si>
    <t>SUMINISTRO E INSTALACIÓN  DE LUMINARÍA  LINEAL  LED, DE 4´,  TIPO  ESTANCA DE 56W, 120-277V, 5000K, 6878 LUMENES. SOPORTES DE MONTAJE  Y PESTILLOS DE ACERO INXOXIDABLE</t>
  </si>
  <si>
    <t>SUMINISTRO E INSTALACIÓN DE LAMPARA LINEAL   LED EMPOTRABLE, PARA INTERIOR, CON DIFUSOR ENVOLVENTE, DE 56W,  , 5000-6000 K.</t>
  </si>
  <si>
    <t>SUMINISTRO E INSTALACIÓN DE LAMPARA LINEAL  FLUORESCENTE DE 2 TUBO T-8 , DE SUPERFICIE CON DIFUSOR ENVOLVENTE  PARA INTERIOR, DE 56W, 5000-6000 K</t>
  </si>
  <si>
    <t>SUMINISTRO E INSTALACIÓN DE LUMINARIA  LED  EXTERIOR  PARA PARED DE 50W</t>
  </si>
  <si>
    <t>SUMINISTRO E INSTALACIÓN DE LUMINARIA LED SOBRE PISO, DE PIVOTE AJUSTABLE, DE 50W, TAMAÑO APROX. 239 MM DE DM X 187 MM ALTO.</t>
  </si>
  <si>
    <t>SECADOR  DE MANOS ,SECADO RÁPIDO EN ACERO INOXIDABLE, MANOS LIBRES AUTOMÁTICO INFRARROJO/ 1800W /MOTOR CON ESCOBILLAS/ LUZ LED</t>
  </si>
  <si>
    <t>SUMINISTRO E INSTALACIÓN SALIDA DE INTERRUPTOR TRIPLE</t>
  </si>
  <si>
    <t>REGISTRO METALICO EN TOLA PINTADA  12'' X 12'' X 6''</t>
  </si>
  <si>
    <t>REGISTRO METALICO EN TOLA PINTADA  18'' X 18'' X 6''</t>
  </si>
  <si>
    <t>REGISTRO METALICO EN TOLA PINTADA 24'' X 24'' X 8''</t>
  </si>
  <si>
    <t>REGISTRO METALICO EN TOLA PINTADA 15'' X 15'' X 6''</t>
  </si>
  <si>
    <t>REGISTRO METÁLICO EN TOLA PINTADA  12'' X 12'' X 4''</t>
  </si>
  <si>
    <t>REGISTRO METÁLICO EN TOLA PINTADA  10'' X 10'' X 4''</t>
  </si>
  <si>
    <t>REGISTRO METÁLICO EN TOLA PINTADA  22'' X 22'' X 6''</t>
  </si>
  <si>
    <t>REGISTRO METÁLICO EN TOLA PINTADA  20'' X 20'' X 6''</t>
  </si>
  <si>
    <t>REGISTRO METÁLICO EN TOLA PINTADA 10”X10”X6”</t>
  </si>
  <si>
    <t>SUMINISTRO E INSTALACION DE CAJA DE CONEXION ELECTRICA Y DATOS  PARA PISO TECNICO ( 1 SALIDA DE DATA, 1 SALIDA AC, 1 SALIDA UPS)</t>
  </si>
  <si>
    <t>SUMINISTRO E INSTALACIÓN DE SALIDA 110 VOLTS PARA CAMARAS DE SEGURIDAD Y CERRADURAS MAGNETICAS</t>
  </si>
  <si>
    <t>SUMINISTRO E INSTALACION DE SALIDAS 220 VOLTS PARA SECADORES DE MANOS EN BAÑOS</t>
  </si>
  <si>
    <t>SUMINISTRO E INSTALACION DE SALIDAS 220 VOLTS PARA PUERTAS AUTOMATICAS</t>
  </si>
  <si>
    <t>SUMINISTRO E INSTALACION DE SALIDAS 208 VOLTS PARA AIRES ACONDICIONADOS</t>
  </si>
  <si>
    <t xml:space="preserve">SUMINISTRO E INSTALACION DE SALIDAS PARA EXTRACTORES </t>
  </si>
  <si>
    <t>SUMINISTRO E INSTALACION DE SALIDAS 220 VOLTS PARA BOMBAS SUMERGIBLES EN CISTERNA Y POZO</t>
  </si>
  <si>
    <t>SUMINISTRO E INSTALACIÓN DE LUMINARÍA DECORATIVA LED (DOWNLIGHT REDONDO DE APROX. 20-25 CM DE DM) ,  6000 LUMENES, 120-277 V, COLOR GRIS, DIMMABLE, 5000-6000 K</t>
  </si>
  <si>
    <t xml:space="preserve">SUMINISTRO E INSTALACIÓN DE LUMINARÍA DECORATIVA LED  DE SUPERFICIE, (DOWNLIGHT REDONDO DE APROX. 10-12 CM DE DM Y ALTURA)  , 6000 LUMENES, 120-277 V, COLOR GRIS, DIMMABLE, 12.5 W       </t>
  </si>
  <si>
    <t>SUMINISTRO E INSTALACIÓN DE LUMINARÍA TIPO  BAÑADOR LED RGB CON PIVOTE, TAMAÑO APROX. ≤  A  35CM X 35 CM)  , 100-277 V, 3000-3500 LUMENES,  DISPONIBLE PARA USO CON DMX. (USO: ILUMINACIÓN RGB DE LA FACHADA DESDE EL INTERIOR)</t>
  </si>
  <si>
    <t>SUMINISTRO E INSTALACIÓN  DE LUMINARÍA  LINEAL  LED, DE 4´,  TIPO  ESTANCA  DE 56W, 120-277V, 5000K, 6878 LUMENES. SOPORTES DE MONTAJE  Y PESTILLOS DE ACERO INXOXIDABLE.</t>
  </si>
  <si>
    <t>SUMINISTRO E INSTALACIÓN DE LAMPARA LINEAL  FLUORESCENTE DE 2 TUBO  T-8 , DE SUPERFICIE CON DIFUSOR ENVOLVENTE  PARA INTERIOR, DE 56W,  , 5000-6000 K</t>
  </si>
  <si>
    <t>REGISTRO METÁLICO EN TOLA PINTADA  12'' X 12'' X 6''</t>
  </si>
  <si>
    <t>REGISTRO METÁLICO EN TOLA PINTADA  18'' X 18'' X 6''</t>
  </si>
  <si>
    <t>REGISTRO METÁLICO EN TOLA PINTADA 8'' X 8'' X 4''</t>
  </si>
  <si>
    <t>INSTALACIONES ELÉCTRICAS
 NIVEL 6</t>
  </si>
  <si>
    <t>SUMINISTRO E INSTALACIÓN DE LUMINARÍA DECORATIVA  LED (DOWNLIGHT REDONDO DE APROX. 20-25 CM DE DM) ,  6000 LUMENES, 120-277 V, COLOR GRIS, DIMMABLE, 5000-6000 K</t>
  </si>
  <si>
    <t xml:space="preserve">SUMINISTRO E INSTALACIÓN DE LUMINARÍA DECORATIVA LED  DE SUPERFICIE, (DOWNLIGHT REDONDO DE APROX. 10-12 CM DE DM Y ALTURA)  , 6000 LUMENES, 120-277 V, COLOR GRIS, DIMMABLE, 12.5 W </t>
  </si>
  <si>
    <t>SUMINISTRO E INSTALACIÓN DE LAMPARA LINEAL   LED EMPOTRABLE, PARA INTERIOR, CON DIFUSOR ENVOLVENTE, DE 56W, 5000-6000 K.</t>
  </si>
  <si>
    <t>SUMINISTRO E INSTALACIÓN DE LAMPARA LINEAL  FLUORESCENTE DE 2 TUBO, T-8 , DE SUPERFICIE CON DIFUSOR ENVOLVENTE  PARA INTERIOR, DE 56W,  , 5000-6000 K</t>
  </si>
  <si>
    <t>SUMINISTRO E INSTALACIÓN DE LUMINARIA LED DE PISO EMPOTRABLE  (EN DECK DE MADERA.), DE 50W, TAMAÑO APROX. 239 MM DE DM X 187 MM ALTO.</t>
  </si>
  <si>
    <t>INSTALACIONES ELÉCTRICAS
 AZOTEA</t>
  </si>
  <si>
    <t>Luminarias interiores y exteriores (según especificaciones)</t>
  </si>
  <si>
    <t>Luminarias RGB de fachada (según especificaciones)</t>
  </si>
  <si>
    <t>SUMINISTROS E INSTALACIONES COMPLEMENTARIAS</t>
  </si>
  <si>
    <t>Limpieza continua durante ejecucion del proyecto, incluye gestion de recoleccion de escombros, instalacion de ductos de desperdicios, materiales gastable como fundas, tanques, escobas, mano de obra y agua (4 hombres por dia en una jornada de 6 dias x semana durante 6 meses)</t>
  </si>
  <si>
    <t>Seguridad industrial dentro del proyecto. Incluye personal fijo para asistencia general y carpintería (dos personas x 6 meses) y el suministro de materiales necesarios para cumplir con las necesidades del proyecto. Considerar previsión para los siguientes:
10 planchas de plywood 1/2" (para cierres de seguridad)
Apróx 95 PT de pino americano para conformación de cierres y barandas
10 rollos de malla de seguridad plástica</t>
  </si>
  <si>
    <t>Subida de materiales por personal durante la duración del proyecto (5 hombres por dia en una jornada de 6 dias x semana durante 6 meses)</t>
  </si>
  <si>
    <t xml:space="preserve">Juntas de expansión antisísmicas </t>
  </si>
  <si>
    <t>Resane en elementos estructurales interiores y fachada</t>
  </si>
  <si>
    <t>Colocación y pulido de topping en cuarto de bomba contra incendio, espesor promedio de 8.00 cm modelado según normas. Incluye terminación pulida, corte y sellado de juntas con poliuretano, colocación de curador en base acuosa, suministro y colocación de guarderas, limpieza final. Mano de obra y equipos (alisador mecánico o helicoptero).</t>
  </si>
  <si>
    <t>Junta en encuentro de  piso de granito vaciado y alfombra</t>
  </si>
  <si>
    <t>CARPINTERIA DE ALUMINIO Y VIDRIO</t>
  </si>
  <si>
    <t>PORTERIA</t>
  </si>
  <si>
    <t>CERRAMIENTOS EN METAL</t>
  </si>
  <si>
    <t>2.2.1.4</t>
  </si>
  <si>
    <t>2.2.1.5</t>
  </si>
  <si>
    <t>2.2.1.6</t>
  </si>
  <si>
    <t>2.2.1.7</t>
  </si>
  <si>
    <t>2.2.1.8</t>
  </si>
  <si>
    <t>2.3.1</t>
  </si>
  <si>
    <t>2.3.1.1</t>
  </si>
  <si>
    <t>2.3.1.2</t>
  </si>
  <si>
    <t>2.3.2</t>
  </si>
  <si>
    <t>2.3.2.1</t>
  </si>
  <si>
    <t>2.3.2.2</t>
  </si>
  <si>
    <t>2.3.2.3</t>
  </si>
  <si>
    <t>2.3.2.4</t>
  </si>
  <si>
    <t>2.3.2.5</t>
  </si>
  <si>
    <t>2.3.2.6</t>
  </si>
  <si>
    <t>2.3.2.7</t>
  </si>
  <si>
    <t>2.3.2.8</t>
  </si>
  <si>
    <t>2.3.2.9</t>
  </si>
  <si>
    <t>2.3.2.10</t>
  </si>
  <si>
    <t>2.3.2.11</t>
  </si>
  <si>
    <t>PUERTAS, CERRAMIENTOS Y REVESTIMIENTOS</t>
  </si>
  <si>
    <t>COMPLETIVO DE OBRA GRIS</t>
  </si>
  <si>
    <t>INSTALACIONES PENDIENTES</t>
  </si>
  <si>
    <t>Instalaciones eléctricas</t>
  </si>
  <si>
    <t>Instalaciones sanitarias</t>
  </si>
  <si>
    <t>1.4.1</t>
  </si>
  <si>
    <t>1.4.1.1</t>
  </si>
  <si>
    <t>1.4.1.2</t>
  </si>
  <si>
    <t>1.4.2</t>
  </si>
  <si>
    <t>1.4.2.1</t>
  </si>
  <si>
    <t>1.4.2.2</t>
  </si>
  <si>
    <t>1.4.3</t>
  </si>
  <si>
    <t>1.4.3.1</t>
  </si>
  <si>
    <t>1.4.3.2</t>
  </si>
  <si>
    <t>1.4.3.3</t>
  </si>
  <si>
    <t>TERMINACIONES Y MISCELANEOS</t>
  </si>
  <si>
    <t>3.1.1.3</t>
  </si>
  <si>
    <t>3.1.1.4</t>
  </si>
  <si>
    <t>3.1.1.5</t>
  </si>
  <si>
    <t>3.1.1.6</t>
  </si>
  <si>
    <t>3.1.1.7</t>
  </si>
  <si>
    <t>3.1.1.8</t>
  </si>
  <si>
    <t>3.1.1.9</t>
  </si>
  <si>
    <t>3.1.1.10</t>
  </si>
  <si>
    <t>3.1.1.11</t>
  </si>
  <si>
    <t>3.1.1.12</t>
  </si>
  <si>
    <t>3.1.1.13</t>
  </si>
  <si>
    <t>3.1.2.3</t>
  </si>
  <si>
    <t>3.1.2.4</t>
  </si>
  <si>
    <t>3.1.2.5</t>
  </si>
  <si>
    <t>3.2.1.3</t>
  </si>
  <si>
    <t>3.2.1.4</t>
  </si>
  <si>
    <t>3.2.1.5</t>
  </si>
  <si>
    <t>3.2.1.6</t>
  </si>
  <si>
    <t>3.2.1.7</t>
  </si>
  <si>
    <t>3.2.1.8</t>
  </si>
  <si>
    <t>3.2.1.9</t>
  </si>
  <si>
    <t>3.2.1.10</t>
  </si>
  <si>
    <t>3.2.1.11</t>
  </si>
  <si>
    <t>3.2.1.12</t>
  </si>
  <si>
    <t>3.2.1.13</t>
  </si>
  <si>
    <t>3.2.1.14</t>
  </si>
  <si>
    <t>3.2.1.15</t>
  </si>
  <si>
    <t>3.2.1.16</t>
  </si>
  <si>
    <t>3.2.2.14</t>
  </si>
  <si>
    <t>3.2.2.15</t>
  </si>
  <si>
    <t>3.2.3</t>
  </si>
  <si>
    <t>3.2.3.1</t>
  </si>
  <si>
    <t>3.3.1</t>
  </si>
  <si>
    <t>3.3.1.1</t>
  </si>
  <si>
    <t>3.3.1.2</t>
  </si>
  <si>
    <t>3.3.1.3</t>
  </si>
  <si>
    <t>3.3.1.4</t>
  </si>
  <si>
    <t>3.3.1.5</t>
  </si>
  <si>
    <t>3.3.1.6</t>
  </si>
  <si>
    <t>3.3.1.7</t>
  </si>
  <si>
    <t>3.3.2</t>
  </si>
  <si>
    <t>3.3.2.1</t>
  </si>
  <si>
    <t>3.3.2.2</t>
  </si>
  <si>
    <t>3.3.2.3</t>
  </si>
  <si>
    <t>3.3.2.4</t>
  </si>
  <si>
    <t>3.3.2.5</t>
  </si>
  <si>
    <t>3.3.2.6</t>
  </si>
  <si>
    <t>3.3.2.7</t>
  </si>
  <si>
    <t>3.3.2.8</t>
  </si>
  <si>
    <t>3.3.2.9</t>
  </si>
  <si>
    <t>3.3.2.10</t>
  </si>
  <si>
    <t>3.3.2.11</t>
  </si>
  <si>
    <t>3.3.3</t>
  </si>
  <si>
    <t>3.3.3.1</t>
  </si>
  <si>
    <t>3.3.3.2</t>
  </si>
  <si>
    <t>3.3.3.3</t>
  </si>
  <si>
    <t>3.4.2.2</t>
  </si>
  <si>
    <t>3.4.2.3</t>
  </si>
  <si>
    <t>3.4.2.4</t>
  </si>
  <si>
    <t>3.4.2.5</t>
  </si>
  <si>
    <t>3.4.2.6</t>
  </si>
  <si>
    <t>3.4.2.7</t>
  </si>
  <si>
    <t>3.4.2.8</t>
  </si>
  <si>
    <t>3.4.2.9</t>
  </si>
  <si>
    <t>3.4.2.10</t>
  </si>
  <si>
    <t>3.4.2.11</t>
  </si>
  <si>
    <t>2.1.1.14</t>
  </si>
  <si>
    <t>2.1.1.15</t>
  </si>
  <si>
    <t>2.1.1.16</t>
  </si>
  <si>
    <t>2.1.1.17</t>
  </si>
  <si>
    <t>2.1.1.18</t>
  </si>
  <si>
    <t>2.1.1.19</t>
  </si>
  <si>
    <t>2.1.1.20</t>
  </si>
  <si>
    <t>2.1.1.21</t>
  </si>
  <si>
    <t>2.1.1.22</t>
  </si>
  <si>
    <t>2.1.1.23</t>
  </si>
  <si>
    <t>2.1.1.24</t>
  </si>
  <si>
    <t>2.1.1.25</t>
  </si>
  <si>
    <t>2.1.1.26</t>
  </si>
  <si>
    <t>2.1.1.27</t>
  </si>
  <si>
    <t>2.1.1.28</t>
  </si>
  <si>
    <t>2.1.1.29</t>
  </si>
  <si>
    <t>2.1.1.30</t>
  </si>
  <si>
    <t>2.1.1.31</t>
  </si>
  <si>
    <t>2.1.1.32</t>
  </si>
  <si>
    <t>2.1.1.33</t>
  </si>
  <si>
    <t>2.1.1.34</t>
  </si>
  <si>
    <t>2.1.1.35</t>
  </si>
  <si>
    <t>2.1.1.36</t>
  </si>
  <si>
    <t>2.1.1.37</t>
  </si>
  <si>
    <t>2.1.1.38</t>
  </si>
  <si>
    <t>2.1.1.39</t>
  </si>
  <si>
    <t>2.1.1.40</t>
  </si>
  <si>
    <t>2.1.1.41</t>
  </si>
  <si>
    <t>2.1.1.42</t>
  </si>
  <si>
    <t>2.1.1.43</t>
  </si>
  <si>
    <t>2.1.1.44</t>
  </si>
  <si>
    <t>2.1.1.45</t>
  </si>
  <si>
    <t>2.1.1.46</t>
  </si>
  <si>
    <t>2.1.1.47</t>
  </si>
  <si>
    <t>2.1.1.48</t>
  </si>
  <si>
    <t>2.1.1.49</t>
  </si>
  <si>
    <t>2.1.1.50</t>
  </si>
  <si>
    <t>2.1.1.51</t>
  </si>
  <si>
    <t>2.1.1.52</t>
  </si>
  <si>
    <t>2.1.1.53</t>
  </si>
  <si>
    <t>2.1.1.54</t>
  </si>
  <si>
    <t>2.1.1.55</t>
  </si>
  <si>
    <t>2.1.1.56</t>
  </si>
  <si>
    <t>2.1.1.57</t>
  </si>
  <si>
    <t>2.1.1.58</t>
  </si>
  <si>
    <t>2.1.1.59</t>
  </si>
  <si>
    <t>2.1.1.60</t>
  </si>
  <si>
    <t>2.1.1.61</t>
  </si>
  <si>
    <t>2.1.1.62</t>
  </si>
  <si>
    <t>2.1.1.63</t>
  </si>
  <si>
    <t>2.1.1.64</t>
  </si>
  <si>
    <t>2.1.1.65</t>
  </si>
  <si>
    <t>2.1.1.66</t>
  </si>
  <si>
    <t>2.1.1.67</t>
  </si>
  <si>
    <t>2.1.1.68</t>
  </si>
  <si>
    <t>2.1.1.69</t>
  </si>
  <si>
    <t>2.1.1.70</t>
  </si>
  <si>
    <t>2.1.1.71</t>
  </si>
  <si>
    <t>2.1.1.72</t>
  </si>
  <si>
    <t>2.1.1.73</t>
  </si>
  <si>
    <t>2.1.1.74</t>
  </si>
  <si>
    <t>2.1.1.75</t>
  </si>
  <si>
    <t>2.1.1.76</t>
  </si>
  <si>
    <t>2.1.1.77</t>
  </si>
  <si>
    <t>2.1.1.78</t>
  </si>
  <si>
    <t>2.1.1.79</t>
  </si>
  <si>
    <t>2.1.1.80</t>
  </si>
  <si>
    <t>2.1.2.6</t>
  </si>
  <si>
    <t>2.1.2.7</t>
  </si>
  <si>
    <t>2.1.2.8</t>
  </si>
  <si>
    <t>2.1.2.9</t>
  </si>
  <si>
    <t>2.1.2.10</t>
  </si>
  <si>
    <t>2.1.2.11</t>
  </si>
  <si>
    <t>2.1.2.12</t>
  </si>
  <si>
    <t>2.1.2.13</t>
  </si>
  <si>
    <t>2.1.2.14</t>
  </si>
  <si>
    <t>2.1.2.15</t>
  </si>
  <si>
    <t>2.1.2.16</t>
  </si>
  <si>
    <t>2.1.2.17</t>
  </si>
  <si>
    <t>2.1.2.18</t>
  </si>
  <si>
    <t>2.1.2.19</t>
  </si>
  <si>
    <t>2.1.2.20</t>
  </si>
  <si>
    <t>2.1.2.21</t>
  </si>
  <si>
    <t>2.1.2.22</t>
  </si>
  <si>
    <t>2.1.2.23</t>
  </si>
  <si>
    <t>2.1.2.24</t>
  </si>
  <si>
    <t>2.1.2.25</t>
  </si>
  <si>
    <t>2.1.2.26</t>
  </si>
  <si>
    <t>2.1.2.27</t>
  </si>
  <si>
    <t>2.1.2.28</t>
  </si>
  <si>
    <t>2.1.2.29</t>
  </si>
  <si>
    <t>2.1.2.30</t>
  </si>
  <si>
    <t>2.1.2.31</t>
  </si>
  <si>
    <t>2.1.2.32</t>
  </si>
  <si>
    <t>2.1.2.33</t>
  </si>
  <si>
    <t>2.1.2.34</t>
  </si>
  <si>
    <t>2.1.2.35</t>
  </si>
  <si>
    <t>2.1.2.36</t>
  </si>
  <si>
    <t>2.1.2.37</t>
  </si>
  <si>
    <t>2.1.2.38</t>
  </si>
  <si>
    <t>2.1.2.39</t>
  </si>
  <si>
    <t>2.1.2.40</t>
  </si>
  <si>
    <t>2.1.2.41</t>
  </si>
  <si>
    <t>2.1.2.42</t>
  </si>
  <si>
    <t>2.1.2.43</t>
  </si>
  <si>
    <t>2.1.2.44</t>
  </si>
  <si>
    <t>2.1.2.45</t>
  </si>
  <si>
    <t>2.1.2.46</t>
  </si>
  <si>
    <t>2.1.2.47</t>
  </si>
  <si>
    <t>2.1.2.48</t>
  </si>
  <si>
    <t>2.1.2.49</t>
  </si>
  <si>
    <t>2.1.2.50</t>
  </si>
  <si>
    <t>2.1.2.51</t>
  </si>
  <si>
    <t>2.1.2.52</t>
  </si>
  <si>
    <t>2.1.2.53</t>
  </si>
  <si>
    <t>2.1.2.54</t>
  </si>
  <si>
    <t>2.1.2.55</t>
  </si>
  <si>
    <t>2.1.2.56</t>
  </si>
  <si>
    <t>2.1.2.57</t>
  </si>
  <si>
    <t>2.1.2.58</t>
  </si>
  <si>
    <t>2.1.3.4</t>
  </si>
  <si>
    <t>2.1.3.5</t>
  </si>
  <si>
    <t>2.1.3.6</t>
  </si>
  <si>
    <t>2.1.3.7</t>
  </si>
  <si>
    <t>2.1.3.8</t>
  </si>
  <si>
    <t>2.1.3.9</t>
  </si>
  <si>
    <t>2.1.3.10</t>
  </si>
  <si>
    <t>2.1.3.11</t>
  </si>
  <si>
    <t>2.1.3.12</t>
  </si>
  <si>
    <t>2.1.3.13</t>
  </si>
  <si>
    <t>2.1.3.14</t>
  </si>
  <si>
    <t>2.1.3.15</t>
  </si>
  <si>
    <t>2.1.3.16</t>
  </si>
  <si>
    <t>2.1.3.17</t>
  </si>
  <si>
    <t>2.1.3.18</t>
  </si>
  <si>
    <t>2.1.3.19</t>
  </si>
  <si>
    <t>2.1.3.20</t>
  </si>
  <si>
    <t>2.1.3.21</t>
  </si>
  <si>
    <t>2.1.3.22</t>
  </si>
  <si>
    <t>2.1.3.23</t>
  </si>
  <si>
    <t>2.1.3.24</t>
  </si>
  <si>
    <t>2.1.3.25</t>
  </si>
  <si>
    <t>2.1.3.26</t>
  </si>
  <si>
    <t>2.1.3.27</t>
  </si>
  <si>
    <t>2.1.3.28</t>
  </si>
  <si>
    <t>2.1.3.29</t>
  </si>
  <si>
    <t>2.1.3.30</t>
  </si>
  <si>
    <t>2.1.3.31</t>
  </si>
  <si>
    <t>2.1.3.32</t>
  </si>
  <si>
    <t>2.1.3.33</t>
  </si>
  <si>
    <t>2.1.3.34</t>
  </si>
  <si>
    <t>2.1.3.35</t>
  </si>
  <si>
    <t>2.1.3.36</t>
  </si>
  <si>
    <t>2.1.3.37</t>
  </si>
  <si>
    <t>2.1.3.38</t>
  </si>
  <si>
    <t>2.1.3.39</t>
  </si>
  <si>
    <t>2.1.3.40</t>
  </si>
  <si>
    <t>2.1.3.41</t>
  </si>
  <si>
    <t>2.1.3.42</t>
  </si>
  <si>
    <t>2.1.3.43</t>
  </si>
  <si>
    <t>2.1.3.44</t>
  </si>
  <si>
    <t>2.1.3.45</t>
  </si>
  <si>
    <t>2.1.3.46</t>
  </si>
  <si>
    <t>2.1.4</t>
  </si>
  <si>
    <t>2.1.4.1</t>
  </si>
  <si>
    <t>2.1.4.2</t>
  </si>
  <si>
    <t>2.1.5</t>
  </si>
  <si>
    <t>2.1.5.1</t>
  </si>
  <si>
    <t>2.1.6</t>
  </si>
  <si>
    <t>2.1.6.1</t>
  </si>
  <si>
    <t>2.1.7</t>
  </si>
  <si>
    <t>2.1.7.1</t>
  </si>
  <si>
    <t>2.1.7.2</t>
  </si>
  <si>
    <t>2.1.7.3</t>
  </si>
  <si>
    <t>2.1.7.4</t>
  </si>
  <si>
    <t>2.1.7.5</t>
  </si>
  <si>
    <t>2.1.7.6</t>
  </si>
  <si>
    <t>2.1.7.7</t>
  </si>
  <si>
    <t>2.1.7.8</t>
  </si>
  <si>
    <t>2.1.7.9</t>
  </si>
  <si>
    <t>2.1.7.10</t>
  </si>
  <si>
    <t>2.1.7.11</t>
  </si>
  <si>
    <t>2.1.7.12</t>
  </si>
  <si>
    <t>2.1.7.13</t>
  </si>
  <si>
    <t>2.1.8</t>
  </si>
  <si>
    <t>2.1.8.1</t>
  </si>
  <si>
    <t>2.1.8.2</t>
  </si>
  <si>
    <t>2.1.8.3</t>
  </si>
  <si>
    <t>2.1.8.4</t>
  </si>
  <si>
    <t>2.1.8.5</t>
  </si>
  <si>
    <t>2.1.8.6</t>
  </si>
  <si>
    <t>2.1.8.7</t>
  </si>
  <si>
    <t>2.1.8.8</t>
  </si>
  <si>
    <t>2.1.8.9</t>
  </si>
  <si>
    <t>2.1.8.10</t>
  </si>
  <si>
    <t>2.1.8.11</t>
  </si>
  <si>
    <t>2.1.8.12</t>
  </si>
  <si>
    <t>2.1.8.13</t>
  </si>
  <si>
    <t>2.1.8.14</t>
  </si>
  <si>
    <t>2.1.8.15</t>
  </si>
  <si>
    <t>2.1.8.16</t>
  </si>
  <si>
    <t>2.1.8.17</t>
  </si>
  <si>
    <t>2.1.9</t>
  </si>
  <si>
    <t>2.1.9.1</t>
  </si>
  <si>
    <t>2.1.9.2</t>
  </si>
  <si>
    <t>2.1.9.3</t>
  </si>
  <si>
    <t>2.1.9.4</t>
  </si>
  <si>
    <t>2.1.9.5</t>
  </si>
  <si>
    <t>2.1.9.6</t>
  </si>
  <si>
    <t>2.1.9.7</t>
  </si>
  <si>
    <t>2.1.9.8</t>
  </si>
  <si>
    <t>2.1.9.9</t>
  </si>
  <si>
    <t>2.1.9.10</t>
  </si>
  <si>
    <t>2.1.9.11</t>
  </si>
  <si>
    <t>2.1.9.12</t>
  </si>
  <si>
    <t>2.1.9.13</t>
  </si>
  <si>
    <t>2.1.9.14</t>
  </si>
  <si>
    <t>2.1.9.15</t>
  </si>
  <si>
    <t>2.1.9.16</t>
  </si>
  <si>
    <t>2.1.9.17</t>
  </si>
  <si>
    <t>2.1.9.18</t>
  </si>
  <si>
    <t>2.1.9.19</t>
  </si>
  <si>
    <t>2.1.9.20</t>
  </si>
  <si>
    <t>2.1.9.21</t>
  </si>
  <si>
    <t>2.1.9.22</t>
  </si>
  <si>
    <t>2.1.9.23</t>
  </si>
  <si>
    <t>2.1.9.24</t>
  </si>
  <si>
    <t>2.1.9.25</t>
  </si>
  <si>
    <t>2.1.9.26</t>
  </si>
  <si>
    <t>2.1.9.27</t>
  </si>
  <si>
    <t>2.1.9.28</t>
  </si>
  <si>
    <t>2.1.9.29</t>
  </si>
  <si>
    <t>2.1.9.30</t>
  </si>
  <si>
    <t>2.1.9.31</t>
  </si>
  <si>
    <t>2.1.9.32</t>
  </si>
  <si>
    <t>2.1.9.33</t>
  </si>
  <si>
    <t>2.1.9.34</t>
  </si>
  <si>
    <t>2.1.9.35</t>
  </si>
  <si>
    <t>2.1.9.36</t>
  </si>
  <si>
    <t>2.1.9.37</t>
  </si>
  <si>
    <t>2.1.9.38</t>
  </si>
  <si>
    <t>2.1.9.39</t>
  </si>
  <si>
    <t>2.1.9.40</t>
  </si>
  <si>
    <t>2.1.9.41</t>
  </si>
  <si>
    <t>2.1.10</t>
  </si>
  <si>
    <t>2.1.10.1</t>
  </si>
  <si>
    <t>2.1.10.2</t>
  </si>
  <si>
    <t>2.1.10.3</t>
  </si>
  <si>
    <t>2.1.10.4</t>
  </si>
  <si>
    <t>2.1.10.5</t>
  </si>
  <si>
    <t>2.1.10.6</t>
  </si>
  <si>
    <t>2.1.10.7</t>
  </si>
  <si>
    <t>2.1.10.8</t>
  </si>
  <si>
    <t>2.1.10.9</t>
  </si>
  <si>
    <t>2.1.10.10</t>
  </si>
  <si>
    <t>2.1.10.11</t>
  </si>
  <si>
    <t>2.1.10.12</t>
  </si>
  <si>
    <t>2.1.10.13</t>
  </si>
  <si>
    <t>2.1.10.14</t>
  </si>
  <si>
    <t>2.1.10.15</t>
  </si>
  <si>
    <t>2.1.10.16</t>
  </si>
  <si>
    <t>2.1.10.17</t>
  </si>
  <si>
    <t>2.1.10.18</t>
  </si>
  <si>
    <t>2.1.11</t>
  </si>
  <si>
    <t>2.1.11.1</t>
  </si>
  <si>
    <t>2.1.11.2</t>
  </si>
  <si>
    <t>2.1.11.3</t>
  </si>
  <si>
    <t>2.1.11.4</t>
  </si>
  <si>
    <t>2.1.11.5</t>
  </si>
  <si>
    <t>2.1.11.6</t>
  </si>
  <si>
    <t>2.1.11.7</t>
  </si>
  <si>
    <t>2.1.11.8</t>
  </si>
  <si>
    <t>2.1.11.9</t>
  </si>
  <si>
    <t>2.1.11.10</t>
  </si>
  <si>
    <t>2.1.11.11</t>
  </si>
  <si>
    <t>2.1.11.12</t>
  </si>
  <si>
    <t>2.1.11.13</t>
  </si>
  <si>
    <t>2.1.11.14</t>
  </si>
  <si>
    <t>2.1.11.15</t>
  </si>
  <si>
    <t>2.1.12</t>
  </si>
  <si>
    <t>2.1.12.1</t>
  </si>
  <si>
    <t>2.1.12.2</t>
  </si>
  <si>
    <t>2.1.12.3</t>
  </si>
  <si>
    <t>2.1.12.4</t>
  </si>
  <si>
    <t>2.1.12.5</t>
  </si>
  <si>
    <t>2.2.1.1.17</t>
  </si>
  <si>
    <t>2.2.1.1.18</t>
  </si>
  <si>
    <t>2.2.1.1.19</t>
  </si>
  <si>
    <t>2.2.1.1.20</t>
  </si>
  <si>
    <t>2.2.1.1.21</t>
  </si>
  <si>
    <t>2.2.1.1.22</t>
  </si>
  <si>
    <t>2.2.1.1.23</t>
  </si>
  <si>
    <t>2.2.1.1.24</t>
  </si>
  <si>
    <t>2.2.1.1.25</t>
  </si>
  <si>
    <t>2.2.1.1.26</t>
  </si>
  <si>
    <t>2.2.1.1.27</t>
  </si>
  <si>
    <t>2.2.1.1.28</t>
  </si>
  <si>
    <t>2.2.1.1.29</t>
  </si>
  <si>
    <t>2.2.1.1.30</t>
  </si>
  <si>
    <t>2.2.1.2.16</t>
  </si>
  <si>
    <t>2.2.1.2.17</t>
  </si>
  <si>
    <t>2.2.1.2.18</t>
  </si>
  <si>
    <t>2.2.1.2.19</t>
  </si>
  <si>
    <t>2.2.1.2.20</t>
  </si>
  <si>
    <t>2.2.1.2.21</t>
  </si>
  <si>
    <t>2.2.1.2.22</t>
  </si>
  <si>
    <t>2.2.1.2.23</t>
  </si>
  <si>
    <t>2.2.1.2.24</t>
  </si>
  <si>
    <t>2.2.1.2.25</t>
  </si>
  <si>
    <t>2.2.1.2.26</t>
  </si>
  <si>
    <t>2.2.1.2.27</t>
  </si>
  <si>
    <t>2.2.1.2.28</t>
  </si>
  <si>
    <t>2.2.1.2.29</t>
  </si>
  <si>
    <t>2.2.1.2.30</t>
  </si>
  <si>
    <t>2.2.1.2.31</t>
  </si>
  <si>
    <t>2.2.1.2.32</t>
  </si>
  <si>
    <t>2.2.1.2.33</t>
  </si>
  <si>
    <t>2.2.1.2.34</t>
  </si>
  <si>
    <t>2.2.1.2.35</t>
  </si>
  <si>
    <t>2.2.1.2.36</t>
  </si>
  <si>
    <t>2.2.1.2.37</t>
  </si>
  <si>
    <t>2.2.1.2.38</t>
  </si>
  <si>
    <t>2.2.1.2.39</t>
  </si>
  <si>
    <t>2.2.1.2.40</t>
  </si>
  <si>
    <t>2.2.1.2.41</t>
  </si>
  <si>
    <t>2.2.1.3.2</t>
  </si>
  <si>
    <t>2.2.1.3.3</t>
  </si>
  <si>
    <t>2.2.1.3.4</t>
  </si>
  <si>
    <t>2.2.1.3.5</t>
  </si>
  <si>
    <t>2.2.1.3.6</t>
  </si>
  <si>
    <t>2.2.1.3.7</t>
  </si>
  <si>
    <t>2.2.1.3.8</t>
  </si>
  <si>
    <t>2.2.1.3.9</t>
  </si>
  <si>
    <t>2.2.1.3.10</t>
  </si>
  <si>
    <t>2.2.1.3.11</t>
  </si>
  <si>
    <t>2.2.1.3.12</t>
  </si>
  <si>
    <t>2.2.1.3.13</t>
  </si>
  <si>
    <t>2.2.1.3.14</t>
  </si>
  <si>
    <t>2.2.1.3.15</t>
  </si>
  <si>
    <t>2.2.1.3.16</t>
  </si>
  <si>
    <t>2.2.1.3.17</t>
  </si>
  <si>
    <t>2.2.1.3.18</t>
  </si>
  <si>
    <t>2.2.1.3.19</t>
  </si>
  <si>
    <t>2.2.1.3.20</t>
  </si>
  <si>
    <t>2.2.1.3.21</t>
  </si>
  <si>
    <t>2.2.1.3.22</t>
  </si>
  <si>
    <t>2.2.1.4.1</t>
  </si>
  <si>
    <t>2.2.1.4.2</t>
  </si>
  <si>
    <t>2.2.1.4.3</t>
  </si>
  <si>
    <t>2.2.1.4.4</t>
  </si>
  <si>
    <t>2.2.1.4.5</t>
  </si>
  <si>
    <t>2.2.1.4.6</t>
  </si>
  <si>
    <t>2.2.1.4.7</t>
  </si>
  <si>
    <t>2.2.1.4.8</t>
  </si>
  <si>
    <t>2.2.1.4.9</t>
  </si>
  <si>
    <t>2.2.1.4.10</t>
  </si>
  <si>
    <t>2.2.1.4.11</t>
  </si>
  <si>
    <t>2.2.1.4.12</t>
  </si>
  <si>
    <t>2.2.1.4.13</t>
  </si>
  <si>
    <t>2.2.1.4.14</t>
  </si>
  <si>
    <t>2.2.1.4.15</t>
  </si>
  <si>
    <t>2.2.1.4.16</t>
  </si>
  <si>
    <t>2.2.1.4.17</t>
  </si>
  <si>
    <t>2.2.1.4.18</t>
  </si>
  <si>
    <t>2.2.1.4.19</t>
  </si>
  <si>
    <t>2.2.1.4.20</t>
  </si>
  <si>
    <t>2.2.1.4.21</t>
  </si>
  <si>
    <t>2.2.1.4.22</t>
  </si>
  <si>
    <t>2.2.1.4.23</t>
  </si>
  <si>
    <t>2.2.1.4.24</t>
  </si>
  <si>
    <t>2.2.1.4.25</t>
  </si>
  <si>
    <t>2.2.1.4.26</t>
  </si>
  <si>
    <t>2.2.1.4.27</t>
  </si>
  <si>
    <t>2.2.1.4.28</t>
  </si>
  <si>
    <t>2.2.1.4.29</t>
  </si>
  <si>
    <t>2.2.1.5.1</t>
  </si>
  <si>
    <t>2.2.1.5.2</t>
  </si>
  <si>
    <t>2.2.1.5.3</t>
  </si>
  <si>
    <t>2.2.1.5.4</t>
  </si>
  <si>
    <t>2.2.1.5.5</t>
  </si>
  <si>
    <t>2.2.1.5.6</t>
  </si>
  <si>
    <t>2.2.1.5.7</t>
  </si>
  <si>
    <t>2.2.1.5.8</t>
  </si>
  <si>
    <t>2.2.1.5.9</t>
  </si>
  <si>
    <t>2.2.1.5.10</t>
  </si>
  <si>
    <t>2.2.1.5.11</t>
  </si>
  <si>
    <t>2.2.1.5.12</t>
  </si>
  <si>
    <t>2.2.1.5.13</t>
  </si>
  <si>
    <t>2.2.1.5.14</t>
  </si>
  <si>
    <t>2.2.1.5.15</t>
  </si>
  <si>
    <t>2.2.1.5.16</t>
  </si>
  <si>
    <t>2.2.1.5.17</t>
  </si>
  <si>
    <t>2.2.1.5.18</t>
  </si>
  <si>
    <t>2.2.1.5.19</t>
  </si>
  <si>
    <t>2.2.1.5.20</t>
  </si>
  <si>
    <t>2.2.1.5.21</t>
  </si>
  <si>
    <t>2.2.1.5.22</t>
  </si>
  <si>
    <t>2.2.1.5.23</t>
  </si>
  <si>
    <t>2.2.1.5.24</t>
  </si>
  <si>
    <t>2.2.1.5.25</t>
  </si>
  <si>
    <t>2.2.1.5.26</t>
  </si>
  <si>
    <t>2.2.1.5.27</t>
  </si>
  <si>
    <t>2.2.1.5.28</t>
  </si>
  <si>
    <t>2.2.1.5.29</t>
  </si>
  <si>
    <t>2.2.1.5.30</t>
  </si>
  <si>
    <t>2.2.1.5.31</t>
  </si>
  <si>
    <t>2.2.1.5.32</t>
  </si>
  <si>
    <t>2.2.1.5.33</t>
  </si>
  <si>
    <t>2.2.1.5.34</t>
  </si>
  <si>
    <t>2.2.1.5.35</t>
  </si>
  <si>
    <t>2.2.1.5.36</t>
  </si>
  <si>
    <t>2.2.1.5.37</t>
  </si>
  <si>
    <t>2.2.1.5.38</t>
  </si>
  <si>
    <t>2.2.1.5.39</t>
  </si>
  <si>
    <t>2.2.1.5.40</t>
  </si>
  <si>
    <t>2.2.1.5.41</t>
  </si>
  <si>
    <t>2.2.1.5.42</t>
  </si>
  <si>
    <t>2.2.1.5.43</t>
  </si>
  <si>
    <t>2.2.1.5.44</t>
  </si>
  <si>
    <t>2.2.1.5.45</t>
  </si>
  <si>
    <t>2.2.1.5.46</t>
  </si>
  <si>
    <t>2.2.1.5.47</t>
  </si>
  <si>
    <t>2.2.1.5.48</t>
  </si>
  <si>
    <t>2.2.1.6.1</t>
  </si>
  <si>
    <t>2.2.1.6.2</t>
  </si>
  <si>
    <t>2.2.1.6.3</t>
  </si>
  <si>
    <t>2.2.1.6.4</t>
  </si>
  <si>
    <t>2.2.1.6.5</t>
  </si>
  <si>
    <t>2.2.1.6.6</t>
  </si>
  <si>
    <t>2.2.1.6.7</t>
  </si>
  <si>
    <t>2.2.1.6.8</t>
  </si>
  <si>
    <t>2.2.1.6.9</t>
  </si>
  <si>
    <t>2.2.1.6.10</t>
  </si>
  <si>
    <t>2.2.1.6.11</t>
  </si>
  <si>
    <t>2.2.1.6.12</t>
  </si>
  <si>
    <t>2.2.1.6.13</t>
  </si>
  <si>
    <t>2.2.1.6.14</t>
  </si>
  <si>
    <t>2.2.1.6.15</t>
  </si>
  <si>
    <t>2.2.1.6.16</t>
  </si>
  <si>
    <t>2.2.1.6.17</t>
  </si>
  <si>
    <t>2.2.1.6.18</t>
  </si>
  <si>
    <t>2.2.1.6.19</t>
  </si>
  <si>
    <t>2.2.1.6.20</t>
  </si>
  <si>
    <t>2.2.1.6.21</t>
  </si>
  <si>
    <t>2.2.1.6.22</t>
  </si>
  <si>
    <t>2.2.1.6.23</t>
  </si>
  <si>
    <t>2.2.1.6.24</t>
  </si>
  <si>
    <t>2.2.1.6.25</t>
  </si>
  <si>
    <t>2.2.1.6.26</t>
  </si>
  <si>
    <t>2.2.1.6.27</t>
  </si>
  <si>
    <t>2.2.1.6.28</t>
  </si>
  <si>
    <t>2.2.1.6.29</t>
  </si>
  <si>
    <t>2.2.1.6.30</t>
  </si>
  <si>
    <t>2.2.1.6.31</t>
  </si>
  <si>
    <t>2.2.1.6.32</t>
  </si>
  <si>
    <t>2.2.1.6.33</t>
  </si>
  <si>
    <t>2.2.1.6.34</t>
  </si>
  <si>
    <t>2.2.1.6.35</t>
  </si>
  <si>
    <t>2.2.1.6.36</t>
  </si>
  <si>
    <t>2.2.1.6.37</t>
  </si>
  <si>
    <t>2.2.1.6.38</t>
  </si>
  <si>
    <t>2.2.1.6.39</t>
  </si>
  <si>
    <t>2.2.1.6.40</t>
  </si>
  <si>
    <t>2.2.1.6.41</t>
  </si>
  <si>
    <t>2.2.1.6.42</t>
  </si>
  <si>
    <t>2.2.1.6.43</t>
  </si>
  <si>
    <t>2.2.1.6.44</t>
  </si>
  <si>
    <t>2.2.1.6.45</t>
  </si>
  <si>
    <t>2.2.1.6.46</t>
  </si>
  <si>
    <t>2.2.1.6.47</t>
  </si>
  <si>
    <t>2.2.1.6.48</t>
  </si>
  <si>
    <t>2.2.1.6.49</t>
  </si>
  <si>
    <t>2.2.1.6.50</t>
  </si>
  <si>
    <t>2.2.1.6.51</t>
  </si>
  <si>
    <t>2.2.1.6.52</t>
  </si>
  <si>
    <t>2.2.1.6.53</t>
  </si>
  <si>
    <t>2.2.1.6.54</t>
  </si>
  <si>
    <t>2.2.1.6.55</t>
  </si>
  <si>
    <t>2.2.1.6.56</t>
  </si>
  <si>
    <t>2.2.1.6.57</t>
  </si>
  <si>
    <t>2.2.1.6.58</t>
  </si>
  <si>
    <t>2.2.1.6.59</t>
  </si>
  <si>
    <t>2.2.1.6.60</t>
  </si>
  <si>
    <t>2.2.1.6.61</t>
  </si>
  <si>
    <t>2.2.1.6.62</t>
  </si>
  <si>
    <t>2.2.1.6.63</t>
  </si>
  <si>
    <t>2.2.1.6.64</t>
  </si>
  <si>
    <t>2.2.1.7.1</t>
  </si>
  <si>
    <t>2.2.1.7.2</t>
  </si>
  <si>
    <t>2.2.1.7.3</t>
  </si>
  <si>
    <t>2.2.1.7.4</t>
  </si>
  <si>
    <t>2.2.1.7.5</t>
  </si>
  <si>
    <t>2.2.1.7.6</t>
  </si>
  <si>
    <t>2.2.1.7.7</t>
  </si>
  <si>
    <t>2.2.1.7.8</t>
  </si>
  <si>
    <t>2.2.1.7.9</t>
  </si>
  <si>
    <t>2.2.1.7.10</t>
  </si>
  <si>
    <t>2.2.1.7.11</t>
  </si>
  <si>
    <t>2.2.1.7.12</t>
  </si>
  <si>
    <t>2.2.1.7.13</t>
  </si>
  <si>
    <t>2.2.1.7.14</t>
  </si>
  <si>
    <t>2.2.1.7.15</t>
  </si>
  <si>
    <t>2.2.1.7.16</t>
  </si>
  <si>
    <t>2.2.1.7.17</t>
  </si>
  <si>
    <t>2.2.1.7.18</t>
  </si>
  <si>
    <t>2.2.1.7.19</t>
  </si>
  <si>
    <t>2.2.1.7.20</t>
  </si>
  <si>
    <t>2.2.1.7.21</t>
  </si>
  <si>
    <t>2.2.1.7.22</t>
  </si>
  <si>
    <t>2.2.1.7.23</t>
  </si>
  <si>
    <t>2.2.1.7.24</t>
  </si>
  <si>
    <t>2.2.1.7.25</t>
  </si>
  <si>
    <t>2.2.1.7.26</t>
  </si>
  <si>
    <t>2.2.1.7.27</t>
  </si>
  <si>
    <t>2.2.1.7.28</t>
  </si>
  <si>
    <t>2.2.1.7.29</t>
  </si>
  <si>
    <t>2.2.1.7.30</t>
  </si>
  <si>
    <t>2.2.1.7.31</t>
  </si>
  <si>
    <t>2.2.1.8.1</t>
  </si>
  <si>
    <t>2.2.1.8.2</t>
  </si>
  <si>
    <t>2.2.1.8.3</t>
  </si>
  <si>
    <t>2.2.1.8.4</t>
  </si>
  <si>
    <t>2.2.1.8.5</t>
  </si>
  <si>
    <t>2.2.1.8.6</t>
  </si>
  <si>
    <t>2.2.1.8.7</t>
  </si>
  <si>
    <t>2.2.1.8.8</t>
  </si>
  <si>
    <t>2.2.1.8.9</t>
  </si>
  <si>
    <t>2.2.1.8.10</t>
  </si>
  <si>
    <t>2.2.1.8.11</t>
  </si>
  <si>
    <t>2.2.1.8.12</t>
  </si>
  <si>
    <t>2.2.1.8.13</t>
  </si>
  <si>
    <t>2.2.1.8.14</t>
  </si>
  <si>
    <t>2.2.1.8.15</t>
  </si>
  <si>
    <t>2.2.1.8.16</t>
  </si>
  <si>
    <t>2.2.1.8.17</t>
  </si>
  <si>
    <t>2.2.1.8.18</t>
  </si>
  <si>
    <t>2.2.1.8.19</t>
  </si>
  <si>
    <t>2.2.1.8.20</t>
  </si>
  <si>
    <t>Aparatos sanitarios</t>
  </si>
  <si>
    <t>2.3.2.12</t>
  </si>
  <si>
    <t>2.3.2.13</t>
  </si>
  <si>
    <t>Precio Unitario</t>
  </si>
  <si>
    <r>
      <t xml:space="preserve">Puerta de Madera Roble Macizo </t>
    </r>
    <r>
      <rPr>
        <b/>
        <sz val="11"/>
        <rFont val="Arial Nova Light"/>
        <family val="2"/>
      </rPr>
      <t>P09</t>
    </r>
    <r>
      <rPr>
        <sz val="11"/>
        <rFont val="Arial Nova Light"/>
        <family val="2"/>
      </rPr>
      <t xml:space="preserve"> (0.90m x 2.10m) (laqueado mate) batiente de una hoja.</t>
    </r>
  </si>
  <si>
    <r>
      <t xml:space="preserve">Puerta de Aluminio y Vidrio </t>
    </r>
    <r>
      <rPr>
        <b/>
        <sz val="11"/>
        <rFont val="Arial Nova Light"/>
        <family val="2"/>
      </rPr>
      <t>P08</t>
    </r>
    <r>
      <rPr>
        <sz val="11"/>
        <rFont val="Arial Nova Light"/>
        <family val="2"/>
      </rPr>
      <t xml:space="preserve"> (1.20m x 2.10m) batiente de una hoja (acabado Automotriz negro)</t>
    </r>
  </si>
  <si>
    <r>
      <t xml:space="preserve">Puerta de Polimetal </t>
    </r>
    <r>
      <rPr>
        <b/>
        <sz val="11"/>
        <rFont val="Arial Nova Light"/>
        <family val="2"/>
      </rPr>
      <t>P33</t>
    </r>
    <r>
      <rPr>
        <sz val="11"/>
        <rFont val="Arial Nova Light"/>
        <family val="2"/>
      </rPr>
      <t xml:space="preserve"> (0.95m x 2.10m) batiente de una hoja (acabado Automotriz) con barra antipánico 30 minutos resistencia al fuego.</t>
    </r>
  </si>
  <si>
    <r>
      <t xml:space="preserve">Puerta de Madera Roble Macizo </t>
    </r>
    <r>
      <rPr>
        <b/>
        <sz val="11"/>
        <rFont val="Arial Nova Light"/>
        <family val="2"/>
      </rPr>
      <t>P03</t>
    </r>
    <r>
      <rPr>
        <sz val="11"/>
        <rFont val="Arial Nova Light"/>
        <family val="2"/>
      </rPr>
      <t xml:space="preserve"> (0.80m x 2.20m) (laqueado mate) batiente de una hoja.</t>
    </r>
  </si>
  <si>
    <r>
      <t xml:space="preserve">Puerta de Madera Roble Macizo </t>
    </r>
    <r>
      <rPr>
        <b/>
        <sz val="11"/>
        <rFont val="Arial Nova Light"/>
        <family val="2"/>
      </rPr>
      <t>P10</t>
    </r>
    <r>
      <rPr>
        <sz val="11"/>
        <rFont val="Arial Nova Light"/>
        <family val="2"/>
      </rPr>
      <t xml:space="preserve"> (1.20m x 2.10m) (laqueado mate) batiente de una hoja.</t>
    </r>
  </si>
  <si>
    <r>
      <t xml:space="preserve">Puerta de Madera Roble Macizo </t>
    </r>
    <r>
      <rPr>
        <b/>
        <sz val="11"/>
        <rFont val="Arial Nova Light"/>
        <family val="2"/>
      </rPr>
      <t>P04</t>
    </r>
    <r>
      <rPr>
        <sz val="11"/>
        <rFont val="Arial Nova Light"/>
        <family val="2"/>
      </rPr>
      <t xml:space="preserve"> (0.90m x 2.10m) (laqueado mate) batiente de una hoja.</t>
    </r>
  </si>
  <si>
    <r>
      <t xml:space="preserve">Puerta de Polimetal </t>
    </r>
    <r>
      <rPr>
        <b/>
        <sz val="11"/>
        <rFont val="Arial Nova Light"/>
        <family val="2"/>
      </rPr>
      <t>P31</t>
    </r>
    <r>
      <rPr>
        <sz val="11"/>
        <rFont val="Arial Nova Light"/>
        <family val="2"/>
      </rPr>
      <t xml:space="preserve"> (1.20m x 2.10m) batiente de una hoja (acabado Automotriz) con barra antipánico 30 minutos resistencia al fuego.</t>
    </r>
  </si>
  <si>
    <r>
      <t xml:space="preserve">Puerta de Madera Roble Macizo </t>
    </r>
    <r>
      <rPr>
        <b/>
        <sz val="11"/>
        <rFont val="Arial Nova Light"/>
        <family val="2"/>
      </rPr>
      <t>P07</t>
    </r>
    <r>
      <rPr>
        <sz val="11"/>
        <rFont val="Arial Nova Light"/>
        <family val="2"/>
      </rPr>
      <t xml:space="preserve"> (1.10m x 2.10m) (laqueado mate) batiente de una hoja.</t>
    </r>
  </si>
  <si>
    <r>
      <t xml:space="preserve">Puerta de Acero </t>
    </r>
    <r>
      <rPr>
        <b/>
        <sz val="11"/>
        <rFont val="Arial Nova Light"/>
        <family val="2"/>
      </rPr>
      <t>P06</t>
    </r>
    <r>
      <rPr>
        <sz val="11"/>
        <rFont val="Arial Nova Light"/>
        <family val="2"/>
      </rPr>
      <t xml:space="preserve"> (1.40m x 2.42m) batiente de una hoja (acabado Automotriz gris)</t>
    </r>
  </si>
  <si>
    <r>
      <t xml:space="preserve">Puerta de Acero </t>
    </r>
    <r>
      <rPr>
        <b/>
        <sz val="11"/>
        <rFont val="Arial Nova Light"/>
        <family val="2"/>
      </rPr>
      <t>P05</t>
    </r>
    <r>
      <rPr>
        <sz val="11"/>
        <rFont val="Arial Nova Light"/>
        <family val="2"/>
      </rPr>
      <t xml:space="preserve"> (4.20m x 3.02m) plegable de 4 hojas tipo louver con celosias acústicas, acero acabado con pintura automotriz color gris grafito,  insulado e insonorizado, material absorbente,  resistente a altas temperaturas, (cerramiento cuarto de plantas electricas).</t>
    </r>
  </si>
  <si>
    <r>
      <t xml:space="preserve">Puerta de Aluminio y Vidrio </t>
    </r>
    <r>
      <rPr>
        <b/>
        <sz val="11"/>
        <rFont val="Arial Nova Light"/>
        <family val="2"/>
      </rPr>
      <t>P01</t>
    </r>
    <r>
      <rPr>
        <sz val="11"/>
        <rFont val="Arial Nova Light"/>
        <family val="2"/>
      </rPr>
      <t xml:space="preserve"> (2.00m x 2.525m) automatica deslizable de una hoja, aluminio y vidrio templado, con sistema antipánico en la hoja, Incluye viga contenedora, motor italiano, accesorios de control automáticos y cerradura.</t>
    </r>
  </si>
  <si>
    <r>
      <t xml:space="preserve">Puerta de Aluminio y Vidrio </t>
    </r>
    <r>
      <rPr>
        <b/>
        <sz val="11"/>
        <rFont val="Arial Nova Light"/>
        <family val="2"/>
      </rPr>
      <t>P02</t>
    </r>
    <r>
      <rPr>
        <sz val="11"/>
        <rFont val="Arial Nova Light"/>
        <family val="2"/>
      </rPr>
      <t xml:space="preserve"> (2.00m x 2.53m) automatica deslizable de una hoja, aluminio y vidrio templado, con sistema antipánico en la hoja, Incluye viga contenedora, motor italiano, accesorios de control automáticos y cerradura.</t>
    </r>
  </si>
  <si>
    <r>
      <t xml:space="preserve">Puerta enrollable </t>
    </r>
    <r>
      <rPr>
        <b/>
        <sz val="11"/>
        <rFont val="Arial Nova Light"/>
        <family val="2"/>
      </rPr>
      <t xml:space="preserve">P28 </t>
    </r>
    <r>
      <rPr>
        <sz val="11"/>
        <rFont val="Arial Nova Light"/>
        <family val="2"/>
      </rPr>
      <t>(3.90m x 3.03m) de aluminio anonizado (entrada parqueo soterrado, nivel -1)</t>
    </r>
  </si>
  <si>
    <r>
      <t xml:space="preserve">Ventana proyectada </t>
    </r>
    <r>
      <rPr>
        <b/>
        <sz val="11"/>
        <rFont val="Arial Nova Light"/>
        <family val="2"/>
      </rPr>
      <t>V07</t>
    </r>
    <r>
      <rPr>
        <sz val="11"/>
        <rFont val="Arial Nova Light"/>
        <family val="2"/>
      </rPr>
      <t xml:space="preserve"> (0.81m x 0.30m), aluminio anodizado/vidrio templado.</t>
    </r>
  </si>
  <si>
    <r>
      <t xml:space="preserve">Ventana proyectada </t>
    </r>
    <r>
      <rPr>
        <b/>
        <sz val="11"/>
        <rFont val="Arial Nova Light"/>
        <family val="2"/>
      </rPr>
      <t>V08</t>
    </r>
    <r>
      <rPr>
        <sz val="11"/>
        <rFont val="Arial Nova Light"/>
        <family val="2"/>
      </rPr>
      <t xml:space="preserve"> (0.79m x 0.90m), aluminio anodizado/vidrio templado.</t>
    </r>
  </si>
  <si>
    <r>
      <t xml:space="preserve">Partición interior (7.75m x 2.53m) en vidrio templado,  perfilería en aluminio anodizado, (acceso de estacionamientos a ascensores nivel -4, contiene las puertas </t>
    </r>
    <r>
      <rPr>
        <b/>
        <sz val="11"/>
        <rFont val="Arial Nova Light"/>
        <family val="2"/>
      </rPr>
      <t>P02</t>
    </r>
    <r>
      <rPr>
        <sz val="11"/>
        <rFont val="Arial Nova Light"/>
        <family val="2"/>
      </rPr>
      <t xml:space="preserve"> (2.00m x 2.53m) y </t>
    </r>
    <r>
      <rPr>
        <b/>
        <sz val="11"/>
        <rFont val="Arial Nova Light"/>
        <family val="2"/>
      </rPr>
      <t>P01</t>
    </r>
    <r>
      <rPr>
        <sz val="11"/>
        <rFont val="Arial Nova Light"/>
        <family val="2"/>
      </rPr>
      <t xml:space="preserve"> (2.00m x 2.53m) de Acceso Ejecutivo y Acceso Peatonal respectivamente). Nivel -4</t>
    </r>
  </si>
  <si>
    <r>
      <t xml:space="preserve">Particion interior de vidrio templado, perfilería en aluminio anodizado de (7.75m x 2.53m) (acceso de estacionamientos a ascensores nivel -3, contiene la puerta </t>
    </r>
    <r>
      <rPr>
        <b/>
        <sz val="11"/>
        <rFont val="Arial Nova Light"/>
        <family val="2"/>
      </rPr>
      <t xml:space="preserve">P01 </t>
    </r>
    <r>
      <rPr>
        <sz val="11"/>
        <rFont val="Arial Nova Light"/>
        <family val="2"/>
      </rPr>
      <t>de</t>
    </r>
    <r>
      <rPr>
        <b/>
        <sz val="11"/>
        <rFont val="Arial Nova Light"/>
        <family val="2"/>
      </rPr>
      <t xml:space="preserve"> </t>
    </r>
    <r>
      <rPr>
        <sz val="11"/>
        <rFont val="Arial Nova Light"/>
        <family val="2"/>
      </rPr>
      <t>2.00m x 2.47m) Niveles -3 al -1</t>
    </r>
  </si>
  <si>
    <r>
      <t xml:space="preserve">Louver </t>
    </r>
    <r>
      <rPr>
        <b/>
        <sz val="11"/>
        <rFont val="Arial Nova Light"/>
        <family val="2"/>
      </rPr>
      <t>L05</t>
    </r>
    <r>
      <rPr>
        <sz val="11"/>
        <rFont val="Arial Nova Light"/>
        <family val="2"/>
      </rPr>
      <t xml:space="preserve"> fijo, con celosias acusticas,  acero acabado con pintura automotriz color gris grafito,  insulado e insonorizado, material absorbente,  resistente a altas temperaturas, (cerramiento cuarto de plantas electricas,  ver sección 4). Dimensión 1.16 x 3.02 m,  nivel -4,  3 unidades</t>
    </r>
  </si>
  <si>
    <r>
      <t xml:space="preserve">Puerta de acero galvanizado o aluminio </t>
    </r>
    <r>
      <rPr>
        <b/>
        <sz val="11"/>
        <rFont val="Arial Nova Light"/>
        <family val="2"/>
      </rPr>
      <t>P19</t>
    </r>
    <r>
      <rPr>
        <sz val="11"/>
        <rFont val="Arial Nova Light"/>
        <family val="2"/>
      </rPr>
      <t xml:space="preserve"> (2.39m x 2.20m) batiente de 2 hojas (acabado automotríz)</t>
    </r>
  </si>
  <si>
    <r>
      <t xml:space="preserve">Puerta de acero galvanizado o aluminio </t>
    </r>
    <r>
      <rPr>
        <b/>
        <sz val="11"/>
        <rFont val="Arial Nova Light"/>
        <family val="2"/>
      </rPr>
      <t>P20</t>
    </r>
    <r>
      <rPr>
        <sz val="11"/>
        <rFont val="Arial Nova Light"/>
        <family val="2"/>
      </rPr>
      <t xml:space="preserve"> (1.80m x 2.00m) deslizable de 2 hojas (acabado automotríz)</t>
    </r>
  </si>
  <si>
    <r>
      <t xml:space="preserve">Puerta de acero galvanizado o aluminio </t>
    </r>
    <r>
      <rPr>
        <b/>
        <sz val="11"/>
        <rFont val="Arial Nova Light"/>
        <family val="2"/>
      </rPr>
      <t xml:space="preserve">P32 </t>
    </r>
    <r>
      <rPr>
        <sz val="11"/>
        <rFont val="Arial Nova Light"/>
        <family val="2"/>
      </rPr>
      <t>(2.48m x 1.20m) batiente de una hoja (acabado automotríz)</t>
    </r>
  </si>
  <si>
    <r>
      <t xml:space="preserve">Puerta de Madera Roble Macizo </t>
    </r>
    <r>
      <rPr>
        <b/>
        <sz val="11"/>
        <rFont val="Arial Nova Light"/>
        <family val="2"/>
      </rPr>
      <t>P03</t>
    </r>
    <r>
      <rPr>
        <sz val="11"/>
        <rFont val="Arial Nova Light"/>
        <family val="2"/>
      </rPr>
      <t xml:space="preserve"> (0.75m x 2.20m) (laqueado mate) batiente de una hoja.</t>
    </r>
  </si>
  <si>
    <r>
      <t xml:space="preserve">Puerta de aluminio y vidrio </t>
    </r>
    <r>
      <rPr>
        <b/>
        <sz val="11"/>
        <rFont val="Arial Nova Light"/>
        <family val="2"/>
      </rPr>
      <t xml:space="preserve">P13 </t>
    </r>
    <r>
      <rPr>
        <sz val="11"/>
        <rFont val="Arial Nova Light"/>
        <family val="2"/>
      </rPr>
      <t>(2.28m x 2.14m)  batiente de 2 hojas , vidrio templado, marco de aluminio con tramson de vidrio y aluminio de 2.40 x 0.67m (altura total de puerta y tramson de 2.95m)</t>
    </r>
  </si>
  <si>
    <r>
      <t xml:space="preserve">Puerta de polimetal </t>
    </r>
    <r>
      <rPr>
        <b/>
        <sz val="11"/>
        <rFont val="Arial Nova Light"/>
        <family val="2"/>
      </rPr>
      <t xml:space="preserve">P14 </t>
    </r>
    <r>
      <rPr>
        <sz val="11"/>
        <rFont val="Arial Nova Light"/>
        <family val="2"/>
      </rPr>
      <t>(1.20m x 2.10m) batiente de una hoja (acabado automotríz) con barra antipánico 30 minutos resistencia al fuego.</t>
    </r>
  </si>
  <si>
    <r>
      <t xml:space="preserve">Puerta de aluminio y vidrio </t>
    </r>
    <r>
      <rPr>
        <b/>
        <sz val="11"/>
        <rFont val="Arial Nova Light"/>
        <family val="2"/>
      </rPr>
      <t xml:space="preserve">P26 </t>
    </r>
    <r>
      <rPr>
        <sz val="11"/>
        <rFont val="Arial Nova Light"/>
        <family val="2"/>
      </rPr>
      <t>(1.20m x 2.34m) batiente de una hoja (acabado de aluminio y vidrio templado)</t>
    </r>
  </si>
  <si>
    <r>
      <t xml:space="preserve">Puerta de polimetal </t>
    </r>
    <r>
      <rPr>
        <b/>
        <sz val="11"/>
        <rFont val="Arial Nova Light"/>
        <family val="2"/>
      </rPr>
      <t xml:space="preserve">P18 </t>
    </r>
    <r>
      <rPr>
        <sz val="11"/>
        <rFont val="Arial Nova Light"/>
        <family val="2"/>
      </rPr>
      <t>(0.95m x 2.00m) batiente de una hoja (acabado automotríz)</t>
    </r>
  </si>
  <si>
    <r>
      <t xml:space="preserve">Puerta de polimetal </t>
    </r>
    <r>
      <rPr>
        <b/>
        <sz val="11"/>
        <rFont val="Arial Nova Light"/>
        <family val="2"/>
      </rPr>
      <t xml:space="preserve">P16 </t>
    </r>
    <r>
      <rPr>
        <sz val="11"/>
        <rFont val="Arial Nova Light"/>
        <family val="2"/>
      </rPr>
      <t>(1.60m x 2.10m) batiente de 2 hojas (acabado automotríz)</t>
    </r>
  </si>
  <si>
    <r>
      <t xml:space="preserve">Puerta de Madera Roble Macizo </t>
    </r>
    <r>
      <rPr>
        <b/>
        <sz val="11"/>
        <rFont val="Arial Nova Light"/>
        <family val="2"/>
      </rPr>
      <t xml:space="preserve">P17 </t>
    </r>
    <r>
      <rPr>
        <sz val="11"/>
        <rFont val="Arial Nova Light"/>
        <family val="2"/>
      </rPr>
      <t>(0.95m x 2.10m) (laqueado mate) corrediza dentro de muro.</t>
    </r>
  </si>
  <si>
    <r>
      <t xml:space="preserve">Puerta de Madera Roble Macizo </t>
    </r>
    <r>
      <rPr>
        <b/>
        <sz val="11"/>
        <rFont val="Arial Nova Light"/>
        <family val="2"/>
      </rPr>
      <t>P15</t>
    </r>
    <r>
      <rPr>
        <sz val="11"/>
        <rFont val="Arial Nova Light"/>
        <family val="2"/>
      </rPr>
      <t xml:space="preserve"> (1.00m x 2.10m) (laqueado mate) batiente de una hoja.</t>
    </r>
  </si>
  <si>
    <r>
      <t xml:space="preserve">Puerta de Madera Roble Macizo </t>
    </r>
    <r>
      <rPr>
        <b/>
        <sz val="11"/>
        <rFont val="Arial Nova Light"/>
        <family val="2"/>
      </rPr>
      <t xml:space="preserve">P27 </t>
    </r>
    <r>
      <rPr>
        <sz val="11"/>
        <rFont val="Arial Nova Light"/>
        <family val="2"/>
      </rPr>
      <t>(0.95m x 2.10m) (laqueado mate) batiente de dos hojas.</t>
    </r>
  </si>
  <si>
    <r>
      <t xml:space="preserve">Puerta de aluminio y vidrio </t>
    </r>
    <r>
      <rPr>
        <b/>
        <sz val="11"/>
        <rFont val="Arial Nova Light"/>
        <family val="2"/>
      </rPr>
      <t xml:space="preserve">P11 </t>
    </r>
    <r>
      <rPr>
        <sz val="11"/>
        <rFont val="Arial Nova Light"/>
        <family val="2"/>
      </rPr>
      <t xml:space="preserve">(2.00m x 2.84m) automatica deslizable de 2 hojas en cristal templado y marcos en acero inoxidable con sistema antipático en las 2 hojas. Incluye viga contenedora, motor italiano, accesorios de control automáticos y cerradura </t>
    </r>
  </si>
  <si>
    <r>
      <t xml:space="preserve">Puerta de aluminio y vidrio </t>
    </r>
    <r>
      <rPr>
        <b/>
        <sz val="11"/>
        <rFont val="Arial Nova Light"/>
        <family val="2"/>
      </rPr>
      <t xml:space="preserve">P12 </t>
    </r>
    <r>
      <rPr>
        <sz val="11"/>
        <rFont val="Arial Nova Light"/>
        <family val="2"/>
      </rPr>
      <t xml:space="preserve">(1.00m x 2.84m) automatica deslizable de 1 hoja, vidrio templado, marco de aluminio, con sistema antipánico en su hoja. Incluye viga contenedora, motor italiano, accesorios de control automáticos y cerradura </t>
    </r>
  </si>
  <si>
    <r>
      <t xml:space="preserve">Puerta de aluminio y vidrio </t>
    </r>
    <r>
      <rPr>
        <b/>
        <sz val="11"/>
        <rFont val="Arial Nova Light"/>
        <family val="2"/>
      </rPr>
      <t xml:space="preserve">P30 </t>
    </r>
    <r>
      <rPr>
        <sz val="11"/>
        <rFont val="Arial Nova Light"/>
        <family val="2"/>
      </rPr>
      <t>(0.90m x 2.10m) batiente de una hoja (acabado de aluminio y vidrio templado)</t>
    </r>
  </si>
  <si>
    <r>
      <t xml:space="preserve">2 Ventanas proyectadas </t>
    </r>
    <r>
      <rPr>
        <b/>
        <sz val="11"/>
        <rFont val="Arial Nova Light"/>
        <family val="2"/>
      </rPr>
      <t>V01</t>
    </r>
    <r>
      <rPr>
        <sz val="11"/>
        <rFont val="Arial Nova Light"/>
        <family val="2"/>
      </rPr>
      <t xml:space="preserve"> (1.05m x 1.00m), de aluminio anodizado y vidrio templado.</t>
    </r>
  </si>
  <si>
    <r>
      <t xml:space="preserve">Panel fijo </t>
    </r>
    <r>
      <rPr>
        <b/>
        <sz val="11"/>
        <rFont val="Arial Nova Light"/>
        <family val="2"/>
      </rPr>
      <t>PF01</t>
    </r>
    <r>
      <rPr>
        <sz val="11"/>
        <rFont val="Arial Nova Light"/>
        <family val="2"/>
      </rPr>
      <t xml:space="preserve"> (2.27m x 1.10m) de aluminio anodizado y vidrio templado.</t>
    </r>
  </si>
  <si>
    <r>
      <t xml:space="preserve">Panel fijo </t>
    </r>
    <r>
      <rPr>
        <b/>
        <sz val="11"/>
        <rFont val="Arial Nova Light"/>
        <family val="2"/>
      </rPr>
      <t>PF02</t>
    </r>
    <r>
      <rPr>
        <sz val="11"/>
        <rFont val="Arial Nova Light"/>
        <family val="2"/>
      </rPr>
      <t xml:space="preserve"> (2.27m x 0.85m) de aluminio anodizado y vidrio templado.</t>
    </r>
  </si>
  <si>
    <r>
      <t xml:space="preserve">Panel fijo </t>
    </r>
    <r>
      <rPr>
        <b/>
        <sz val="11"/>
        <rFont val="Arial Nova Light"/>
        <family val="2"/>
      </rPr>
      <t>PF03</t>
    </r>
    <r>
      <rPr>
        <sz val="11"/>
        <rFont val="Arial Nova Light"/>
        <family val="2"/>
      </rPr>
      <t xml:space="preserve"> (2.40m x 0.80m) de aluminio anodizado y vidrio templado.</t>
    </r>
  </si>
  <si>
    <r>
      <t xml:space="preserve">Panel  tipo  </t>
    </r>
    <r>
      <rPr>
        <b/>
        <sz val="11"/>
        <rFont val="Arial Nova Light"/>
        <family val="2"/>
      </rPr>
      <t>S01</t>
    </r>
    <r>
      <rPr>
        <sz val="11"/>
        <rFont val="Arial Nova Light"/>
        <family val="2"/>
      </rPr>
      <t xml:space="preserve">, de vidrio spandrel color negro, templado y perfilería de aluminio anodizado color negro  de  2.18 x 0.35 m, fachada oeste modulo de servicios del nivel de llegada, 1 unidad. </t>
    </r>
  </si>
  <si>
    <r>
      <t xml:space="preserve">Panel  tipo </t>
    </r>
    <r>
      <rPr>
        <b/>
        <sz val="11"/>
        <rFont val="Arial Nova Light"/>
        <family val="2"/>
      </rPr>
      <t>S02</t>
    </r>
    <r>
      <rPr>
        <sz val="11"/>
        <rFont val="Arial Nova Light"/>
        <family val="2"/>
      </rPr>
      <t xml:space="preserve">, de vidrio spandrel color negro, templado y perfilería de aluminio anodizado color negro  de  2.10 x 0.35 m, fachada  oeste modulo de servicios del nivel de llegada a nivel, 1 unidad. </t>
    </r>
  </si>
  <si>
    <r>
      <t xml:space="preserve">Panel  tipo </t>
    </r>
    <r>
      <rPr>
        <b/>
        <sz val="11"/>
        <rFont val="Arial Nova Light"/>
        <family val="2"/>
      </rPr>
      <t>S03</t>
    </r>
    <r>
      <rPr>
        <sz val="11"/>
        <rFont val="Arial Nova Light"/>
        <family val="2"/>
      </rPr>
      <t xml:space="preserve">, de vidrio spandrel color negro, templado y perfilería de aluminio anodizado color negro  de 1.05x0.35m,  fachada frontal y posterior modulo de ascensores nivel de llegada, 2 unidades. </t>
    </r>
  </si>
  <si>
    <r>
      <t xml:space="preserve">Panel fijo </t>
    </r>
    <r>
      <rPr>
        <b/>
        <sz val="11"/>
        <rFont val="Arial Nova Light"/>
        <family val="2"/>
      </rPr>
      <t>PF04</t>
    </r>
    <r>
      <rPr>
        <sz val="11"/>
        <rFont val="Arial Nova Light"/>
        <family val="2"/>
      </rPr>
      <t xml:space="preserve"> (1.10m x 2.30m) de aluminio anodizado y vidrio templado.</t>
    </r>
  </si>
  <si>
    <r>
      <t xml:space="preserve">Panel fijo </t>
    </r>
    <r>
      <rPr>
        <b/>
        <sz val="11"/>
        <rFont val="Arial Nova Light"/>
        <family val="2"/>
      </rPr>
      <t>PF05</t>
    </r>
    <r>
      <rPr>
        <sz val="11"/>
        <rFont val="Arial Nova Light"/>
        <family val="2"/>
      </rPr>
      <t xml:space="preserve"> (1.11m x 2.30m) de aluminio anodizado y vidrio templado.</t>
    </r>
  </si>
  <si>
    <r>
      <t xml:space="preserve">Panel fijo </t>
    </r>
    <r>
      <rPr>
        <b/>
        <sz val="11"/>
        <rFont val="Arial Nova Light"/>
        <family val="2"/>
      </rPr>
      <t>PF06</t>
    </r>
    <r>
      <rPr>
        <sz val="11"/>
        <rFont val="Arial Nova Light"/>
        <family val="2"/>
      </rPr>
      <t xml:space="preserve"> (0.42m x 2.30m) de aluminio anodizado y vidrio templado.</t>
    </r>
  </si>
  <si>
    <r>
      <t xml:space="preserve">5 Paneles fijos </t>
    </r>
    <r>
      <rPr>
        <b/>
        <sz val="11"/>
        <rFont val="Arial Nova Light"/>
        <family val="2"/>
      </rPr>
      <t>PF07</t>
    </r>
    <r>
      <rPr>
        <sz val="11"/>
        <rFont val="Arial Nova Light"/>
        <family val="2"/>
      </rPr>
      <t xml:space="preserve"> (1.16m x 2.30m) de aluminio anodizado y vidrio templado.</t>
    </r>
  </si>
  <si>
    <r>
      <t xml:space="preserve">Panel fijo </t>
    </r>
    <r>
      <rPr>
        <b/>
        <sz val="11"/>
        <rFont val="Arial Nova Light"/>
        <family val="2"/>
      </rPr>
      <t>PF08</t>
    </r>
    <r>
      <rPr>
        <sz val="11"/>
        <rFont val="Arial Nova Light"/>
        <family val="2"/>
      </rPr>
      <t xml:space="preserve"> (0.47m x 2.30m) de aluminio anodizado y vidrio templado.</t>
    </r>
  </si>
  <si>
    <r>
      <t xml:space="preserve">Panel fijo </t>
    </r>
    <r>
      <rPr>
        <b/>
        <sz val="11"/>
        <rFont val="Arial Nova Light"/>
        <family val="2"/>
      </rPr>
      <t>PF09</t>
    </r>
    <r>
      <rPr>
        <sz val="11"/>
        <rFont val="Arial Nova Light"/>
        <family val="2"/>
      </rPr>
      <t xml:space="preserve"> (0.70m x 2.30m) de aluminio anodizado y vidrio templado.</t>
    </r>
  </si>
  <si>
    <r>
      <t>Louver</t>
    </r>
    <r>
      <rPr>
        <b/>
        <sz val="11"/>
        <rFont val="Arial Nova Light"/>
        <family val="2"/>
      </rPr>
      <t xml:space="preserve"> L01</t>
    </r>
    <r>
      <rPr>
        <sz val="11"/>
        <rFont val="Arial Nova Light"/>
        <family val="2"/>
      </rPr>
      <t>, fijo, de aluminio extruido, acabado color negro  (pintura electroestatica) , aletas horizontales no regulables tipo z a 45 grados y abertura de 8 cm,  fijado sobre marco de 5 cm (ver secciones), resistente a vientos huracanados. Dimensión  0.88 m  x 3.70 m, (cerramiento lateral hueco de ascensor de carga)</t>
    </r>
  </si>
  <si>
    <r>
      <t xml:space="preserve">Puerta de Madera Roble Macizo </t>
    </r>
    <r>
      <rPr>
        <b/>
        <sz val="11"/>
        <rFont val="Arial Nova Light"/>
        <family val="2"/>
      </rPr>
      <t xml:space="preserve">P23 </t>
    </r>
    <r>
      <rPr>
        <sz val="11"/>
        <rFont val="Arial Nova Light"/>
        <family val="2"/>
      </rPr>
      <t>(0.85m x 2.90m) (laqueado mate) corrediza dentro de muro.</t>
    </r>
  </si>
  <si>
    <r>
      <t xml:space="preserve">Puerta de Madera Roble Macizo </t>
    </r>
    <r>
      <rPr>
        <b/>
        <sz val="11"/>
        <rFont val="Arial Nova Light"/>
        <family val="2"/>
      </rPr>
      <t xml:space="preserve">P21 </t>
    </r>
    <r>
      <rPr>
        <sz val="11"/>
        <rFont val="Arial Nova Light"/>
        <family val="2"/>
      </rPr>
      <t>(1.20m x 2.10m) (laqueado mate) batiente de una hoja.</t>
    </r>
  </si>
  <si>
    <r>
      <t xml:space="preserve">Puerta de Madera Roble Macizo </t>
    </r>
    <r>
      <rPr>
        <b/>
        <sz val="11"/>
        <rFont val="Arial Nova Light"/>
        <family val="2"/>
      </rPr>
      <t xml:space="preserve">P22 </t>
    </r>
    <r>
      <rPr>
        <sz val="11"/>
        <rFont val="Arial Nova Light"/>
        <family val="2"/>
      </rPr>
      <t>(1.10m x 2.10m) (laqueado mate) batiente de 2 hojas.</t>
    </r>
  </si>
  <si>
    <r>
      <t xml:space="preserve">Puerta de aluminio y vidrio </t>
    </r>
    <r>
      <rPr>
        <b/>
        <sz val="11"/>
        <rFont val="Arial Nova Light"/>
        <family val="2"/>
      </rPr>
      <t xml:space="preserve">P29 </t>
    </r>
    <r>
      <rPr>
        <sz val="11"/>
        <rFont val="Arial Nova Light"/>
        <family val="2"/>
      </rPr>
      <t>(2.40m x 2.85m) automatica deslizable de una hoja (acabado de aluminio y vidrio templado)</t>
    </r>
  </si>
  <si>
    <r>
      <t xml:space="preserve">Partición interior de 12.00m x 2.90 m en vidrio color clear templado, perfilería en aluminio anodizado (contiene la puerta automatica deslizable de una hoja </t>
    </r>
    <r>
      <rPr>
        <b/>
        <sz val="11"/>
        <rFont val="Arial Nova Light"/>
        <family val="2"/>
      </rPr>
      <t xml:space="preserve">P29 </t>
    </r>
    <r>
      <rPr>
        <sz val="11"/>
        <rFont val="Arial Nova Light"/>
        <family val="2"/>
      </rPr>
      <t>de 2.34m x 2.85m) (acceso de oficinas a ascensores nivel 2 al 6)</t>
    </r>
  </si>
  <si>
    <r>
      <t xml:space="preserve">Ventana proyectada </t>
    </r>
    <r>
      <rPr>
        <b/>
        <sz val="11"/>
        <rFont val="Arial Nova Light"/>
        <family val="2"/>
      </rPr>
      <t>V03</t>
    </r>
    <r>
      <rPr>
        <sz val="11"/>
        <rFont val="Arial Nova Light"/>
        <family val="2"/>
      </rPr>
      <t xml:space="preserve"> (1.05m x 1.00m), de aluminio anodizado y vidrio templado.</t>
    </r>
  </si>
  <si>
    <r>
      <t xml:space="preserve">Ventana proyectada </t>
    </r>
    <r>
      <rPr>
        <b/>
        <sz val="11"/>
        <rFont val="Arial Nova Light"/>
        <family val="2"/>
      </rPr>
      <t>V02</t>
    </r>
    <r>
      <rPr>
        <sz val="11"/>
        <rFont val="Arial Nova Light"/>
        <family val="2"/>
      </rPr>
      <t xml:space="preserve"> (1.05m x 1.00m), de aluminio anodizado y vidrio templado.</t>
    </r>
  </si>
  <si>
    <r>
      <t xml:space="preserve">Panel  tipo </t>
    </r>
    <r>
      <rPr>
        <b/>
        <sz val="11"/>
        <rFont val="Arial Nova Light"/>
        <family val="2"/>
      </rPr>
      <t>S02</t>
    </r>
    <r>
      <rPr>
        <sz val="11"/>
        <rFont val="Arial Nova Light"/>
        <family val="2"/>
      </rPr>
      <t xml:space="preserve">, de vidrio spandrel color negro, templado y perfilería de aluminio anodizado color negro  de  2.10 x 0.35 m, fachada  oeste modulo de servicios del nivel de llegada a nivel, 10 unidades. </t>
    </r>
  </si>
  <si>
    <r>
      <t xml:space="preserve">Panel fijo </t>
    </r>
    <r>
      <rPr>
        <b/>
        <sz val="11"/>
        <rFont val="Arial Nova Light"/>
        <family val="2"/>
      </rPr>
      <t>PF10</t>
    </r>
    <r>
      <rPr>
        <sz val="11"/>
        <rFont val="Arial Nova Light"/>
        <family val="2"/>
      </rPr>
      <t xml:space="preserve"> (2.26m x 0.85m) de aluminio anodizado y vidrio templado.</t>
    </r>
  </si>
  <si>
    <r>
      <t xml:space="preserve">Panel fijo </t>
    </r>
    <r>
      <rPr>
        <b/>
        <sz val="11"/>
        <rFont val="Arial Nova Light"/>
        <family val="2"/>
      </rPr>
      <t>PF11</t>
    </r>
    <r>
      <rPr>
        <sz val="11"/>
        <rFont val="Arial Nova Light"/>
        <family val="2"/>
      </rPr>
      <t xml:space="preserve"> (2.26m x 1.10m) de aluminio anodizado y vidrio templado.</t>
    </r>
  </si>
  <si>
    <r>
      <t xml:space="preserve">Panel fijo </t>
    </r>
    <r>
      <rPr>
        <b/>
        <sz val="11"/>
        <rFont val="Arial Nova Light"/>
        <family val="2"/>
      </rPr>
      <t>PF12</t>
    </r>
    <r>
      <rPr>
        <sz val="11"/>
        <rFont val="Arial Nova Light"/>
        <family val="2"/>
      </rPr>
      <t xml:space="preserve"> (2.35m x 0.85m) de aluminio anodizado y vidrio templado.</t>
    </r>
  </si>
  <si>
    <r>
      <t xml:space="preserve">Panel fijo </t>
    </r>
    <r>
      <rPr>
        <b/>
        <sz val="11"/>
        <rFont val="Arial Nova Light"/>
        <family val="2"/>
      </rPr>
      <t>PF13</t>
    </r>
    <r>
      <rPr>
        <sz val="11"/>
        <rFont val="Arial Nova Light"/>
        <family val="2"/>
      </rPr>
      <t xml:space="preserve"> (2.35m x 1.10m) de aluminio anodizado y vidrio templado.</t>
    </r>
  </si>
  <si>
    <r>
      <t xml:space="preserve">2 Paneles fijos </t>
    </r>
    <r>
      <rPr>
        <b/>
        <sz val="11"/>
        <rFont val="Arial Nova Light"/>
        <family val="2"/>
      </rPr>
      <t>PF14</t>
    </r>
    <r>
      <rPr>
        <sz val="11"/>
        <rFont val="Arial Nova Light"/>
        <family val="2"/>
      </rPr>
      <t xml:space="preserve"> por nivel, de vidrio templado, perfilería de aluminio anodizado color negro (cerramiento lateral en vestibulo de ascensor principal) de 0.88m x 3.30m.</t>
    </r>
  </si>
  <si>
    <r>
      <t xml:space="preserve">Panel fijo </t>
    </r>
    <r>
      <rPr>
        <b/>
        <sz val="11"/>
        <rFont val="Arial Nova Light"/>
        <family val="2"/>
      </rPr>
      <t>PF15</t>
    </r>
    <r>
      <rPr>
        <sz val="11"/>
        <rFont val="Arial Nova Light"/>
        <family val="2"/>
      </rPr>
      <t xml:space="preserve"> (0.50m x 3.86m) de aluminio anodizado y vidrio templado.</t>
    </r>
  </si>
  <si>
    <r>
      <t xml:space="preserve">4 Paneles fijo tipo  </t>
    </r>
    <r>
      <rPr>
        <b/>
        <sz val="11"/>
        <rFont val="Arial Nova Light"/>
        <family val="2"/>
      </rPr>
      <t xml:space="preserve">PF20 </t>
    </r>
    <r>
      <rPr>
        <sz val="11"/>
        <rFont val="Arial Nova Light"/>
        <family val="2"/>
      </rPr>
      <t xml:space="preserve"> de vidrio esmerilado, color  clear y perfilería de aluminio anodizado color negro  2.28 x 2.90m , división kitchenette/modulo lactancia. Nivel 2-5, 1 panel por nivel.</t>
    </r>
  </si>
  <si>
    <r>
      <t>Louver</t>
    </r>
    <r>
      <rPr>
        <b/>
        <sz val="11"/>
        <rFont val="Arial Nova Light"/>
        <family val="2"/>
      </rPr>
      <t xml:space="preserve"> L01</t>
    </r>
    <r>
      <rPr>
        <sz val="11"/>
        <rFont val="Arial Nova Light"/>
        <family val="2"/>
      </rPr>
      <t>, fijo, de aluminio extruido, acabado color negro  (pintura electroestatica) , aletas horizontales no regulables tipo z a 45 grados y abertura de 8 cm,  fijado sobre marco de 5 cm (ver secciones), resistente a vientos huracanados. Dimensión  0.88 m  x 3.70 m, (cerramiento lateral hueco de ascensor de carga) nivel 2 al 6, 1 louver por nivel</t>
    </r>
  </si>
  <si>
    <r>
      <t xml:space="preserve">Louver </t>
    </r>
    <r>
      <rPr>
        <b/>
        <sz val="11"/>
        <rFont val="Arial Nova Light"/>
        <family val="2"/>
      </rPr>
      <t>L02</t>
    </r>
    <r>
      <rPr>
        <sz val="11"/>
        <rFont val="Arial Nova Light"/>
        <family val="2"/>
      </rPr>
      <t>, fijo, de aluminio extruido, acabado color negro  (pintura electroestatica) , aletas horizontales no regulables tipo z a 45 grados y abertura de 8 cm,  fijado sobre marco de 5 cm (ver secciones), resistente a vientos huracanados. Dimensión 6.90m x 25.62m  (cerramiento posterior módulo de  ascensores, fachada este)</t>
    </r>
  </si>
  <si>
    <r>
      <t xml:space="preserve">Louver </t>
    </r>
    <r>
      <rPr>
        <b/>
        <sz val="11"/>
        <rFont val="Arial Nova Light"/>
        <family val="2"/>
      </rPr>
      <t>L03</t>
    </r>
    <r>
      <rPr>
        <sz val="11"/>
        <rFont val="Arial Nova Light"/>
        <family val="2"/>
      </rPr>
      <t xml:space="preserve"> fijo, de aluminio extruido, acabado color negro  (pintura electroestatica) , aletas horizontales no regulables tipo z a 45 grados y abertura de 8 cm,  fijado sobre marco de 5 cm    (ver secciones), resistente a vientos huracanados. Dimensión 8.51m x 27.57 m, (cerramiento posterior  modulo de servicios, fachada sur)</t>
    </r>
  </si>
  <si>
    <r>
      <t xml:space="preserve">Puerta de aluminio y vidrio </t>
    </r>
    <r>
      <rPr>
        <b/>
        <sz val="11"/>
        <rFont val="Arial Nova Light"/>
        <family val="2"/>
      </rPr>
      <t xml:space="preserve">P25 </t>
    </r>
    <r>
      <rPr>
        <sz val="11"/>
        <rFont val="Arial Nova Light"/>
        <family val="2"/>
      </rPr>
      <t xml:space="preserve">(2.84m x 3.26m) automatica deslizable de una hoja, aluminio y vidrio templado, con sistema antipánico en su hoja. Incluye viga contenedora, motor italiano, accesorios de control automáticos y cerradura </t>
    </r>
  </si>
  <si>
    <r>
      <t xml:space="preserve">Puerta de aluminio y vidrio </t>
    </r>
    <r>
      <rPr>
        <b/>
        <sz val="11"/>
        <rFont val="Arial Nova Light"/>
        <family val="2"/>
      </rPr>
      <t xml:space="preserve">P24 </t>
    </r>
    <r>
      <rPr>
        <sz val="11"/>
        <rFont val="Arial Nova Light"/>
        <family val="2"/>
      </rPr>
      <t>(2.46m x 3.22m) batiente de 2 hojas (acabado vidrio templado)</t>
    </r>
  </si>
  <si>
    <r>
      <t xml:space="preserve">4 Ventanas proyectadas </t>
    </r>
    <r>
      <rPr>
        <b/>
        <sz val="11"/>
        <rFont val="Arial Nova Light"/>
        <family val="2"/>
      </rPr>
      <t>V06</t>
    </r>
    <r>
      <rPr>
        <sz val="11"/>
        <rFont val="Arial Nova Light"/>
        <family val="2"/>
      </rPr>
      <t xml:space="preserve"> (0.93m x 1.00m), de aluminio anodizado y vidrio templado.</t>
    </r>
  </si>
  <si>
    <r>
      <t xml:space="preserve">Ventana proyectada </t>
    </r>
    <r>
      <rPr>
        <b/>
        <sz val="11"/>
        <rFont val="Arial Nova Light"/>
        <family val="2"/>
      </rPr>
      <t>V04</t>
    </r>
    <r>
      <rPr>
        <sz val="11"/>
        <rFont val="Arial Nova Light"/>
        <family val="2"/>
      </rPr>
      <t xml:space="preserve"> (2.90m x 2.16m), de aluminio anodizado y vidrio templado.</t>
    </r>
  </si>
  <si>
    <r>
      <t xml:space="preserve">Ventana proyectada </t>
    </r>
    <r>
      <rPr>
        <b/>
        <sz val="11"/>
        <rFont val="Arial Nova Light"/>
        <family val="2"/>
      </rPr>
      <t>V05</t>
    </r>
    <r>
      <rPr>
        <sz val="11"/>
        <rFont val="Arial Nova Light"/>
        <family val="2"/>
      </rPr>
      <t xml:space="preserve"> (1.75m x 2.16m), de aluminio anodizado y vidrio templado.</t>
    </r>
  </si>
  <si>
    <r>
      <t xml:space="preserve">Panel  tipo  </t>
    </r>
    <r>
      <rPr>
        <b/>
        <sz val="11"/>
        <rFont val="Arial Nova Light"/>
        <family val="2"/>
      </rPr>
      <t>S04</t>
    </r>
    <r>
      <rPr>
        <sz val="11"/>
        <rFont val="Arial Nova Light"/>
        <family val="2"/>
      </rPr>
      <t xml:space="preserve">, de vidrio spandrel color negro, templado y perfilería de aluminio anodizado color negro  de  1.96x0.40 m,  fachada norte modulo de servicios del nivel azotea, 2 unidades. </t>
    </r>
  </si>
  <si>
    <r>
      <t xml:space="preserve">2 Paneles fijos </t>
    </r>
    <r>
      <rPr>
        <b/>
        <sz val="11"/>
        <rFont val="Arial Nova Light"/>
        <family val="2"/>
      </rPr>
      <t>PF16</t>
    </r>
    <r>
      <rPr>
        <sz val="11"/>
        <rFont val="Arial Nova Light"/>
        <family val="2"/>
      </rPr>
      <t xml:space="preserve"> (2.04m x 1.17m) de aluminio anodizado y vidrio templado.</t>
    </r>
  </si>
  <si>
    <r>
      <t xml:space="preserve">2 Paneles fijos </t>
    </r>
    <r>
      <rPr>
        <b/>
        <sz val="11"/>
        <rFont val="Arial Nova Light"/>
        <family val="2"/>
      </rPr>
      <t>PF17</t>
    </r>
    <r>
      <rPr>
        <sz val="11"/>
        <rFont val="Arial Nova Light"/>
        <family val="2"/>
      </rPr>
      <t xml:space="preserve"> (2.04m x 1.10m) de aluminio anodizado y vidrio templado.</t>
    </r>
  </si>
  <si>
    <r>
      <t xml:space="preserve">Panel fijo </t>
    </r>
    <r>
      <rPr>
        <b/>
        <sz val="11"/>
        <rFont val="Arial Nova Light"/>
        <family val="2"/>
      </rPr>
      <t>PF18</t>
    </r>
    <r>
      <rPr>
        <sz val="11"/>
        <rFont val="Arial Nova Light"/>
        <family val="2"/>
      </rPr>
      <t xml:space="preserve"> (0.50m x 5.10m) de aluminio anodizado y vidrio templado.</t>
    </r>
  </si>
  <si>
    <r>
      <t xml:space="preserve">2 Paneles fijos </t>
    </r>
    <r>
      <rPr>
        <b/>
        <sz val="11"/>
        <rFont val="Arial Nova Light"/>
        <family val="2"/>
      </rPr>
      <t>PF19</t>
    </r>
    <r>
      <rPr>
        <sz val="11"/>
        <rFont val="Arial Nova Light"/>
        <family val="2"/>
      </rPr>
      <t xml:space="preserve"> (1.05m x 1.65m) de aluminio anodizado y vidrio templado.</t>
    </r>
  </si>
  <si>
    <r>
      <t xml:space="preserve">Louver </t>
    </r>
    <r>
      <rPr>
        <b/>
        <sz val="11"/>
        <rFont val="Arial Nova Light"/>
        <family val="2"/>
      </rPr>
      <t>L04</t>
    </r>
    <r>
      <rPr>
        <sz val="11"/>
        <rFont val="Arial Nova Light"/>
        <family val="2"/>
      </rPr>
      <t xml:space="preserve"> fijo, de aluminio extruido, acabado color negro  (pintura electroestatica) , aletas horizontales no regulables tipo z a 45 grados y abertura de 8 cm,  fijado sobre marco de 5 cm    (ver secciones), resistente a vientos huracanados. Dimensión 0.88m x 4.07m (cerramiento lateral hueco de ascensor de carga)</t>
    </r>
  </si>
  <si>
    <t>AIRES ACONDICIONADOS</t>
  </si>
  <si>
    <t>4.01.1</t>
  </si>
  <si>
    <t>Unidad Condensadora de Aire Acondicionado de 16.0 HP, 208V/3Ph/60Hz, R-410a Inverter</t>
  </si>
  <si>
    <t>Unidad Condensadora de Aire Acondicionado de 14.0 HP, 208V/3Ph/60Hz, R-410a Inverter</t>
  </si>
  <si>
    <t>Unidad Evaporadora de Aire Acondicionado tipo Casette de 48,000 BTU, 208V/1Ph/60Hz, R-410a</t>
  </si>
  <si>
    <t>Unidad Evaporadora de Aire Acondicionado tipo Casette de 36,000 BTU, 208V/1Ph/60Hz, R-410a</t>
  </si>
  <si>
    <t>Unidad Evaporadora de Aire Acondicionado tipo Casette de 24,000 BTU, 208V/1Ph/60Hz, R-410a</t>
  </si>
  <si>
    <t>Unidad Evaporadora de Aire Acondicionado tipo Casette de 12,000 BTU, 208V/1Ph/60Hz, R-410a</t>
  </si>
  <si>
    <t>Tubería de Cobre ⅝"</t>
  </si>
  <si>
    <t>Tubería de Cobre ⅜"</t>
  </si>
  <si>
    <t>Tubería de Cobre ¼"</t>
  </si>
  <si>
    <t>Tubería de Cobre Rígida ¾"</t>
  </si>
  <si>
    <t>Tubería de Cobre Rígida ⅝"</t>
  </si>
  <si>
    <t>Tubería de Cobre Rígida ½"</t>
  </si>
  <si>
    <t>Vasocel de ⅝" Ø x ½"</t>
  </si>
  <si>
    <t>Vasocel de ⅜" Ø x ½"</t>
  </si>
  <si>
    <t>Vasocel de ¼" Ø x ½"</t>
  </si>
  <si>
    <t>Vasocel de ¾" Ø x ½"</t>
  </si>
  <si>
    <t>Vasocel de 1⅛" Ø x ¾"</t>
  </si>
  <si>
    <t>Unión Refnet IJF-1344-CM(I)</t>
  </si>
  <si>
    <t>Unión Refnet IJF-710-CM(I)</t>
  </si>
  <si>
    <t>Unión Refnet IJF-224-CM(I)</t>
  </si>
  <si>
    <t>Unión Refnet RUF-C02-CM(I)</t>
  </si>
  <si>
    <t>Refrigerante R-410a</t>
  </si>
  <si>
    <t>LB</t>
  </si>
  <si>
    <t>Soporte Tubería</t>
  </si>
  <si>
    <t>Soldadura (Nitrógeno, Oxígeno, Acetileno, etc.)</t>
  </si>
  <si>
    <t>Materiales Varios (Codos, Abrazaderas, etc.)</t>
  </si>
  <si>
    <t>Mano de Obra</t>
  </si>
  <si>
    <t>Alambre para Control 16/3 Blindado</t>
  </si>
  <si>
    <t>Materiales Varios (Conectores, Tape, etc.)</t>
  </si>
  <si>
    <t>Drenaje</t>
  </si>
  <si>
    <t>Soporte Unidad Evaporadora</t>
  </si>
  <si>
    <t>Base Unidad Condensadora</t>
  </si>
  <si>
    <t>Alimentación Eléctrica Evaporadora</t>
  </si>
  <si>
    <t>4.01.2</t>
  </si>
  <si>
    <t>Unidad Condensadora tipo VRF-Inverter, con capacidad de 18HP. Voltaje de operación 220v-3ph-60hz.</t>
  </si>
  <si>
    <t>Unidad Condensadora tipo VRF-Inverter, con capacidad de 16HP. Voltaje de operación 220v-3ph-60hz.</t>
  </si>
  <si>
    <t>Unidad Condensadora tipo VRF-Inverter, con capacidad de 14HP. Voltaje de operación 220v-3ph-60hz.</t>
  </si>
  <si>
    <t>Unidad Evaporadora tipo Cassette Compacto Inverter, con capacidad de 7,000btu/hxs. Voltaje de operación 220v-1ph-60hz.</t>
  </si>
  <si>
    <t>Unidad Evaporadora tipo Cassette Compacto Inverter, con capacidad de 9,000btu/hxs. Voltaje de operación 220v-1ph-60hz.</t>
  </si>
  <si>
    <t>Unidad Evaporadora tipo Cassette Compacto Inverter, con capacidad de 12,000btu/hxs. Voltaje de operación 220v-1ph-60hz.</t>
  </si>
  <si>
    <t>Unidad Evaporadora tipo Cassette Compacto Inverter, con capacidad de 16,000btu/hxs. Voltaje de operación 220v-1ph-60hz.</t>
  </si>
  <si>
    <t>Unidad Evaporadora tipo Cassette Compacto Inverter, con capacidad de 18,000btu/hxs. Voltaje de operación 220v-1ph-60hz.</t>
  </si>
  <si>
    <t>Unidad Evaporadora tipo Cassette Compacto Inverter, con capacidad de 20,000btu/hxs. Voltaje de operación 220v-1ph-60hz.</t>
  </si>
  <si>
    <t>Unidad Evaporadora tipo Cassette Inverter, con capacidad de 36,000btu/hxs. Voltaje de operación 220v-1ph-60hz.</t>
  </si>
  <si>
    <t>Unidad Evaporadora tipo Cassette Inverter, con capacidad de 48,000btu/hxs. Voltaje de operación 220v-1ph-60hz.</t>
  </si>
  <si>
    <t>Tubería de Cobre ¾"</t>
  </si>
  <si>
    <t>Tubería de Cobre Rígida ⅞"Ø</t>
  </si>
  <si>
    <t>Tubería de Cobre Rígida 1⅛"Ø</t>
  </si>
  <si>
    <t>Tubería de Cobre Rígida ⅝"Ø</t>
  </si>
  <si>
    <t>Tubería de Cobre Rígida ½"Ø</t>
  </si>
  <si>
    <t>Tubería de Cobre Rígida ⅜"Ø</t>
  </si>
  <si>
    <t>Tubería de Cobre Rígida ¼"Ø</t>
  </si>
  <si>
    <t>Vasocel de ⅞" Ø x ½"</t>
  </si>
  <si>
    <t>Vasocel de 1⅛" Ø x ½"</t>
  </si>
  <si>
    <t>Vasocel de 1⅝" Ø x ½"</t>
  </si>
  <si>
    <t>Refrigerante R-410A</t>
  </si>
  <si>
    <t>4.01.3</t>
  </si>
  <si>
    <t>NIVEL 2</t>
  </si>
  <si>
    <t>Unidad Condensadora tipo VRF-inverter, 16HP, 220v-3ph-60hz</t>
  </si>
  <si>
    <t>Unidad Condensadora tipo VRF-inverter, 10HP, 220v-3ph-60hz</t>
  </si>
  <si>
    <t>Unidad Evaporadora Cassette Compacto Inverter, 7,000 BTU/h, 220v-1ph-60hz</t>
  </si>
  <si>
    <t>Unidad Evaporadora Cassette Compacto Inverter, 9,000 BTU/h, 220v-1ph-60hz</t>
  </si>
  <si>
    <t>Unidad Evaporadora Cassette Compacto Inverter, 12,000 BTU/h, 220v-1ph-60hz</t>
  </si>
  <si>
    <t>Unidad Evaporadora Cassette Compacto Inverter, 16,000 BTU/h, 220v-1ph-60hz</t>
  </si>
  <si>
    <t>Unidad Evaporadora tipo Cassette Inverter, 24,000 BTU/h, 220v-1ph-60hz</t>
  </si>
  <si>
    <t>Tubería de Cobre N°</t>
  </si>
  <si>
    <t>Tubería de Cobre Rígida N°</t>
  </si>
  <si>
    <t>Vascocel de N° x N°</t>
  </si>
  <si>
    <t>Unión Refnet BIF-E1344-CM(i)</t>
  </si>
  <si>
    <t>Unión Refnet BIF-730-CM(i)</t>
  </si>
  <si>
    <t>Unión Refnet BIF-330-CM(i)</t>
  </si>
  <si>
    <t>Unión Refnet BIF-224-CM(i)</t>
  </si>
  <si>
    <t>Unión Refnet BIF-630-CM(i)</t>
  </si>
  <si>
    <t>4.01.4</t>
  </si>
  <si>
    <t>NIVEL 3</t>
  </si>
  <si>
    <t>Unidad Condensadora VRF-inverter 18HP, 220v-3ph-60hz</t>
  </si>
  <si>
    <t>Unidad Condensadora VRF-inverter 16HP, 220v-3ph-60hz</t>
  </si>
  <si>
    <t>Unidad Condensadora VRF-inverter 10HP, 220v-3ph-60hz</t>
  </si>
  <si>
    <t>Unidad Evaporadora Cassette Compacto 7,000 BTU/h</t>
  </si>
  <si>
    <t>Unidad Evaporadora Cassette Compacto 9,000 BTU/h</t>
  </si>
  <si>
    <t>Unidad Evaporadora Cassette Compacto 12,000 BTU/h</t>
  </si>
  <si>
    <t>Unidad Evaporadora Cassette Compacto 16,000 BTU/h</t>
  </si>
  <si>
    <t>Unidad Evaporadora Cassette 24,000 BTU/h</t>
  </si>
  <si>
    <t>Tubería de Cobre Rígida 1°</t>
  </si>
  <si>
    <t>Tubería de Cobre Rígida 1N°</t>
  </si>
  <si>
    <t>Unión Refnet BIF-1314-CM(i)</t>
  </si>
  <si>
    <t>Unión Refnet BIF-710-CM(i)</t>
  </si>
  <si>
    <t>Unión Refnet Bif-G3-CM(i)</t>
  </si>
  <si>
    <t>4.01.5</t>
  </si>
  <si>
    <t>NIVEL 4</t>
  </si>
  <si>
    <t>Unidad Condensadora VRF-inverter 14HP, 220v-3ph-60hz</t>
  </si>
  <si>
    <t>Tubería de Cobre Rígida ½°</t>
  </si>
  <si>
    <t>Tubería de Cobre 1°</t>
  </si>
  <si>
    <t>Vascocel de N° x ½"</t>
  </si>
  <si>
    <t>Vascocel de 1N° x ½"</t>
  </si>
  <si>
    <t>Vascocel de 2N° x ½"</t>
  </si>
  <si>
    <t>Unión Refnet BIF-320-CM(i)</t>
  </si>
  <si>
    <t>Unión Refnet BIC-04-CM(i)</t>
  </si>
  <si>
    <t>4.01.6</t>
  </si>
  <si>
    <t>NIVEL 5</t>
  </si>
  <si>
    <t>Vascocel de 1N° x N°</t>
  </si>
  <si>
    <t>Unión Refnet BIF-E3344-CM(i)</t>
  </si>
  <si>
    <t>Unión Refnet BIF-1344-CM(i)</t>
  </si>
  <si>
    <t>Unión Refnet BIC-03-CM(i)</t>
  </si>
  <si>
    <t>Soldadura (Nitrógeno, Oxígeno, Acetileno)</t>
  </si>
  <si>
    <t>Materiales Varios (Codos, Abrazaderas)</t>
  </si>
  <si>
    <t>4.01.7</t>
  </si>
  <si>
    <t>NIVEL 6</t>
  </si>
  <si>
    <t>Unión Refnet BIC-02-CM(i)</t>
  </si>
  <si>
    <t>Servicio de Grúa para subida general de equipos al 6to nivel</t>
  </si>
  <si>
    <t>PISO Y ALFOMBRA</t>
  </si>
  <si>
    <t>Suministro e instalación de piso técnico elevado con las siguientes especificaciones: cubierta de acero soldado, tratamiento anticorrosivo, capacidad de resistencia puntual sobre el panel de 1000 lb, estructura de soporte con sistema de autoengramaje de piso en pedestales hechos de acero modulados 0,600x60.m a 0,90 mt de altura, y con tolerancia de ajuste de los pedestales z* adicionales. Peso máximo del sistema 44 kg / m2 (9 LBS /F2)</t>
  </si>
  <si>
    <t>Suministro e instalación de alfombra modular de alto transito, con base en poliuretano, formato 50 cm x 50 cm, tejido 100% nylon teñido tipo 6,6, de pelo rizado con textura,mínimo 9.1 puntadas por pulgada y mechones 109.7 / pulgadaz, densidad de 5,391 a 5,74 , espesor de pelo terminado mínimo 2.03mm y altura de pelo terminado mínimo de 2.79 mm, con garantía de 10 años. Con tratamiento antinanchas, antiséptica, antimicrobacteriano, resistente a la humedad, de fácil remoción, sin daños ni desplazamientos sobre la superficie instalada. Sistema de colocación con conectores o revestimiento afmohadillo adhesivo incorporado a la base del modulo, (sin pegamentos ni adhesivos).</t>
  </si>
  <si>
    <t>Yd2</t>
  </si>
  <si>
    <t>Suministro e instalación de piso de vinilo en loseta , tipo LVT (luxury vinyl file) de alta resistencia, instalación mediante adhesivos, formato 36°x36°, espesor de 5 mm, resistente a químicos y con garantía de mínimo 1 año ante desperfectos y 12 años de vida util.</t>
  </si>
  <si>
    <t>Corte de huecos en piso para registros electricos</t>
  </si>
  <si>
    <t>Suministro e instalación de caja de conexión eléctrica y datos para piso técnico ( 1 salida de data, 1 salida doble AC, 1 salida doble UPS)</t>
  </si>
  <si>
    <t>Suministro e instalación de caja de conexión eléctrica y datos para piso técnico ( 4 salidas de data, 4 salidas AC, 4 salidas UPS)</t>
  </si>
  <si>
    <t>Suministro e instalación de registro de Grommet pasa cables de 18.4 cm x 12 cm</t>
  </si>
  <si>
    <t>Costos por transporte, almacenamiento y manejo</t>
  </si>
  <si>
    <t>ASCENSORES</t>
  </si>
  <si>
    <t>Ascensores de pasajeros ( A1 Y A2) Modelo : PUBLICOS Capacidad:08 pasajeros /680 Kg. Velocidad: 1.50 m/s. 11 paradas Recorrido= 44.00 mis. Altura ultima parada 4.20 m</t>
  </si>
  <si>
    <t>Ascensores de pasajeros : EJECUTIVO ( A3 ). Capacidad:08 pasajeros /680 Kg. Velocidad: 1.50 m/s. 11 paradas Recorrido= 44.00 mis. Altura ultima parada 4.20 m</t>
  </si>
  <si>
    <t>Ascensores de pasajeros Modelo : SERVICIO ( A4 ). Capacidad:13 pasajeros /1000 Kg. Velocidad: 1.50 m/s. 11 paradas Recorrido= 44.00 mis. Altura ultima parada 4.20 m</t>
  </si>
  <si>
    <t>Mano de obra por concepto de Instalación, incluye trabajos electricos y afines</t>
  </si>
  <si>
    <t>Kit multimedia para ascensores publicos y ejecutivos.</t>
  </si>
  <si>
    <t>Costos de importacion e aduanales transporte a obra, carga y descarga</t>
  </si>
  <si>
    <t>CONTROL DE ACCESO</t>
  </si>
  <si>
    <t>Software control de acceso Biometrico Suprema Blostar 2 en español BIOSTAR2SE BioStar 2 Standard Edition with S/W License</t>
  </si>
  <si>
    <t>Modulo lector de tarjeta de acceso, max. usuarios 40.000 max. registros 50.000 (eventos), comunicaciones TCP/IP, RS485, Wiegand 1ch entrada o salida (seleccionable), entrada/salida: 2 entradas TTU1 relevador, CPU S33MHz DSP, memoria 16 Mb RAM+8Mb Flash, alimentacion 12VDC,PCE. Suprema XPASS XPEPOEV2 Smart IP RFID 125KHz EM) / Proteccion IP65 / PoE / Uso con BioStar 2</t>
  </si>
  <si>
    <t>Tarjeta de proximidad para control de acceso para SUPREMA 125KHz</t>
  </si>
  <si>
    <t>Botones de Salida no touch, Color de luz verde y rojo, diametro de boton 1.25'' (31,7mm), Alcance de sensor 4'' (100mm), accionamiento via Refé 3A, dispara 0.5 seg. o mientras la mano este cerca del sensor, alimentacion 12VDC, 3Amp, material: acero inoxidable. Enforcer Secolarm SD- 927PKC-NSQ JNO TOCAR EN ESPANOL)</t>
  </si>
  <si>
    <t>Switch de 16 canales, 16 puertos PoE 101'00TX+2 10/100 /1000TX compartidos 2 1000X, administrado, estandar 802,3alfaf, total de PoE 220 valios, temperatura de funcionamiento 0-50° C. SIGNAMAX FO-SC10060</t>
  </si>
  <si>
    <t>Modulo Lift I/O, modulo de expansión diseñado para control de acceso con elevadores, comunicación RS485, entradas 12x TTL, Relevador 12x forma C, alimentacion 12 VDC, suprema lift I/o, reemplazado por el SUPREMA OM-120.</t>
  </si>
  <si>
    <t>Modulo Secure I/O, proporciona control de acceso seguro via comunicación encriptada, comunicación RS485, entradas Ax TTL, relevador 2x forma C, alimentacion 12 VDC (600mA). Reemplazado por el Suprema Secure I/O2 Door Module</t>
  </si>
  <si>
    <t>Cerradura electromagnetica 600 lbs, 12 v DC Enforcer 600L</t>
  </si>
  <si>
    <t>Bracket ZL para cerradura de 600 lbs Enforcer ZL</t>
  </si>
  <si>
    <t>Materiales, cables y accesorios, incluye la instalación del sistema de control de acceso. Incluye fuentes de 12V para las cerra duras y accesorios varios de instalación.</t>
  </si>
  <si>
    <t>NVR de 32 Canales, que soporte hasta 32 camaras, compresión H.265/H.264/MJPEG/MPEG4</t>
  </si>
  <si>
    <t>Disco duro 4 TB, Buffer 64MB, Dispositivo compatible: grabadora de vídeo en red, capacidad de almacenamiento 4TB, línea de productos purpura, familia de productos purpura, interfaz de unidad SATA, ancho de unidad 3,5. Estandar de interfaz de unidad: SATA/600, velocidad 5400 rpm. Seagate Barracuola 4TB Internal Hard Drive HDD – 3.5 Inch SATA 6 Gb/s 5400 RPM 256MB Cache</t>
  </si>
  <si>
    <t>Camara IP Tipo Bullet, hasta 3 Megapixel, DWDR, dia/noche (ICR), 3DNR, AVIB, AGC, BLC, Monitoreo de red multiple: visor web, CMS (DSS/PSS) y DMSS, lente fijo de 2,8 mm IR hasta 30 Mts, IP67, PoE. HiKvision modelo DS-ZCD1041-I 4.0 MP CMOS Network Bullet Camera, 1/3" progressive scan CMOS Up to 4.0 megapixel, 2.8 mm/4 mm/6 mm fixed focal lens, Up to 30 m IR range, Dual stream, Digital WDR (Wide Dynamic Range), 3D DNR (Digital Noise Reduction), PoE (Power over Ethernet), IP67, Mobile monitoring via HiK-Connect</t>
  </si>
  <si>
    <t>Camara IP tipo Domo, hasta 3 Megapixel, DWDR, dia/noche (ICR), 3DNR, AVIB, AGC,BLC, monitoreo de red multiple: visor web, CMS (DSS/PSS) y DMSS, lente fijo de 3,6 mm, IR hasta 30 mts, IP67, PoE. HiKvision Dome DS-ZCD2335FWD-I 3MP High Resolution. Full 2048 × 1536 @30 fps, 2.8 mm / 4 mm / 6 mm / 8 mm Fixed Lens (3,6 special order) Options, Ultra-Low Light, 0.008 lux, DarkFighter Technology, H.265+, H.265, H.264+, H.264, 120 dB Wide Dynamic Range, 3D Digital Noise Reduction, 12 VDC &amp; PoE (802.3af), Up to 100 ft (30 m) IR range, MicroSD card slot supports up to 128 GB, IP67 protection, 3-Axis Adjustment</t>
  </si>
  <si>
    <t>Camara Panoramica 360°, hasta 6 megapixel, compresión H.265/H.264, modo multipole devarped, dia/noche (ICR), 3DNR, AVIB, AGC, BLC, detección inteligente, función inteligente, IR hasta 10 mts, IP67,IK10,PoE. HiKvision DS-2CD6362F-IS HiKvision DS-2CD6362F-IV 6MP Outdoor Vandal-Resistant Network Fisheye Camera with 10M Night Vision</t>
  </si>
  <si>
    <t>Gabinete 12 U, instalación estandar de 19", paneles laterales extraibles, cerraduras laterales, entrada de cable en la cubierta superior y el panel inferior, protección IP20. Linkbasic VC-C12U600X635</t>
  </si>
  <si>
    <t>Monitor de 40", Led, resolución 1080p, entrada HDMI, entrada VGA. AXESS TY1703-40 40-Inch 1080p LED HDTV, Features VGA/3xHDMI/Headphone Inputs, Built- In Digital Speakers, Noise Reduction, Full Function Remote</t>
  </si>
  <si>
    <t>Switch de 24 puertos, PoE 10/100TX+2 10/100/1000TX compartidos 2 1000X, administrado, estandar 802,3at/af, total de PoE 360 vaitos, temperatura de funcionamiento 0-50 °C. SIGNAMAX FO SC10020 C-100 24 Port FE PoE 385W Switch, 2 SFP Ports</t>
  </si>
  <si>
    <t>Switch de 16 puertos, PoE 10/100TX+2 10/100/1000TX compatriotos 2 1000X, administrado, estandar 802.3a/4f, total de PoE 220 vatios, temperatura de funcionamiento 0-50 °C. SIGNAMAX FO SC10060 C-100 16 Port FE PoE 235W Switch, 2 SFP Ports</t>
  </si>
  <si>
    <t>Cableado y accesorios para instalación. Incluye accesorios varios de instalación.</t>
  </si>
  <si>
    <t>EXTRACCION DE GASES</t>
  </si>
  <si>
    <t>Equipo de Extracción Centrífugo en Línea, con motor de 5 hp, 1.100 RPM, 3 líneas, 10,464 CPM a 0.125 NMX (JPY-1 = 2 = 3)</t>
  </si>
  <si>
    <t>Equipo de Inyección Centrífugo en Línea, con motor de 5 hp, 1.000 RPM, 3 líneas, 8.231 CPM a 0.125 NMX (JEY-1 = 2 = 3 = 4 = 6)</t>
  </si>
  <si>
    <t>Equipo de Extracción Centrífugo en Línea, con motor de 5 hp, 1.000 RPM, 3 líneas, 8.600 CPM a 0.125 NMX (JPY-5)</t>
  </si>
  <si>
    <t>Equipo de Extracción Centrífugo en Línea, con motor de 1.5 hp, 1.474 RPM, 3 líneas, 3.300 CPM a 0.125 NMX (JPY-5)</t>
  </si>
  <si>
    <t>Equipo de Extracción Centrífugo en Línea, con motor de 0.5 hp, 1.500 RPM, 1 líneas, 300 CPM a 0.100 NMX (JEY-2)</t>
  </si>
  <si>
    <t>Equipo de Extracción Centrífugo en Línea, con motor de 0.5 hp, 1.300 RPM, 1 líneas, 300 CPM a 0.100 NMX (JEY-3)</t>
  </si>
  <si>
    <t>Mano de Obra, instalación, producto y artefactos</t>
  </si>
  <si>
    <t>Louvera / Dampera para inyección de aire en horizontal. (Ver detalle en planos. Hoja 6, de planos de ventilación V. 3.0)</t>
  </si>
  <si>
    <t>Seguridad: Tie Flexora para sujeción equipos inyección y extracción. (Ver detalle en planos. Hoja 8, de planos de ventilación V. 3.0)</t>
  </si>
  <si>
    <t>Mano de Obra, instalación</t>
  </si>
  <si>
    <t>Signal Logo Interactable Panel 128 g/cm². VER DETALLE EN MEMORIA DESCRIPTIVA</t>
  </si>
  <si>
    <t>Sensor detector de CO2 Equipo de superficie, 24 Volts DC, encaminamiento con 3 niveles de detección con carátula color blanco</t>
  </si>
  <si>
    <t>Mano de Obra de Relay</t>
  </si>
  <si>
    <t>Estación manual "ADDRESSABLE"</t>
  </si>
  <si>
    <t>Sirena con luz estroboscópica (STROBE RED LIGHT)</t>
  </si>
  <si>
    <t>Unificador de pizca</t>
  </si>
  <si>
    <t>Relay 12V-4-LABE</t>
  </si>
  <si>
    <t>Cable 102 SCA, únicam 1000 pts/incendio color Rojo</t>
  </si>
  <si>
    <t>CABLE 82 STR (únicam 1000 pts) color Olea</t>
  </si>
  <si>
    <t>Ductería En Zinc Calibre 24. (Incluye anclaje / Seguridad según norma)</t>
  </si>
  <si>
    <t>Rejilla de suministro de Aire 8x8", aluminio (SUMINISTRO)</t>
  </si>
  <si>
    <t>Rejilla de suministro de Aire 8x8", aluminio (RETORNO)</t>
  </si>
  <si>
    <t>Ductería En Zinc Calibre 24. (Incluye anclaje / Seguridad según norma) (Ductería Para Inyección Operacional)</t>
  </si>
  <si>
    <t>Ductería En Zinc Calibre 24. (Incluye anclaje / Seguridad según norma) (Ductería Para Inyección Cuarto Eléctrico)</t>
  </si>
  <si>
    <t>Ductería En Zinc Calibre 24. (Incluye anclaje / Seguridad según norma) (Ductería Para Inyección Cuarto Bomba Agua)</t>
  </si>
  <si>
    <t>Ductería En Zinc Calibre 24. (Incluye anclaje / Seguridad según norma) (Ductería Para Inyección Cuarto Bomba Contra Incendios)</t>
  </si>
  <si>
    <t>Mano de Obra, Fabricación e instalación</t>
  </si>
  <si>
    <t>Unidad de Extracción de 472 CFM a 0.5" n.c. SP</t>
  </si>
  <si>
    <t>Unidad de Extracción de 2,200 CFM 1" n.c. SP</t>
  </si>
  <si>
    <t>Plancha de Zinc Liso CM No.24</t>
  </si>
  <si>
    <t>Fajina de Galvanizado RA 16" x 17"</t>
  </si>
  <si>
    <t>Fajina de Galvanizado RA 30" x 5"</t>
  </si>
  <si>
    <t>Fajina de Galvanizado RA 25" x 5"</t>
  </si>
  <si>
    <t>Fajina de Galvanizado RA 15" x 5"</t>
  </si>
  <si>
    <t>Ventana ducto de Descarga QL 4.0 dB 48" x 19"</t>
  </si>
  <si>
    <t>Ventana ducto de Descarga QL 4.0 dB 15" x 15"</t>
  </si>
  <si>
    <t>Soporte para Ducto</t>
  </si>
  <si>
    <t>Materiales Varios (Abrazaderas, Tornillos, etc)</t>
  </si>
  <si>
    <t>Alambre: Magnetiza 1.0 HP 200V 1S</t>
  </si>
  <si>
    <t>Soporte Unidad Extracción</t>
  </si>
  <si>
    <t>FACHADA</t>
  </si>
  <si>
    <t>Muro Cortina en cristal doble de 6 mm, con tratamiento low-e, vidrio exterior templado y el interior laminado, con cámara de 10 mm rellena de argon, fondo de junta en cordón de polipropileno expandido y sellado en silicón estructural montado en estructura de aluminio anonizadocolor grafito con garantía de 10 años, resistencia a la corrosión y condiciones climáticas. Serigarlia tipo frita cerámica acorde al detalle y con perfil cortafuegos de 2°, Precio incluye costos de importación y transportey almacenamiento.</t>
  </si>
  <si>
    <t>Equipos para instalación que incluye Gruas, andamios, Guindolas, plantas electrica, etc.</t>
  </si>
  <si>
    <t>PLANTAS ELECTRICAS</t>
  </si>
  <si>
    <t>Planta Eléctrica de 400 Kw, Voltaje 120/208 Trifásica, 60 Hz, 1800 RPM, Diesel</t>
  </si>
  <si>
    <t>Servicio de grúa para entrega en sótanos a 15 metros de profundidad, incluye movilización hasta cuarto eléctrico a 10 metros</t>
  </si>
  <si>
    <t>Mano de obra de instalación y materiales para el sincronismo</t>
  </si>
  <si>
    <t>SISTEMA CONTRAINCENDIO</t>
  </si>
  <si>
    <t>Bomba de succión motor diesel, 500 GPM, 160 PSI</t>
  </si>
  <si>
    <t>Motor para bomba contraincendios 115 HP</t>
  </si>
  <si>
    <t>Jockey Pump 10 GPM, 135 PSI, 2HP</t>
  </si>
  <si>
    <t>Accesorios del cuarto de Bombas: Tuberías, válvulas y accesorios para línea de sensado</t>
  </si>
  <si>
    <t>Accesorios del cuarto de Bomba: Tuberías y accesorios para línea de combustible</t>
  </si>
  <si>
    <t>Accesorios del cuarto de Bombas: Tuberías y válvulas para sistemas de rociadores</t>
  </si>
  <si>
    <t>Soportes y accesorios antisísmicos en el cuarto de bombas</t>
  </si>
  <si>
    <t>Válvulas, cheques, mariposa descarga del sistema en el cuarto de Bombas</t>
  </si>
  <si>
    <t>Estación manual de alarma contra incendio</t>
  </si>
  <si>
    <t>Bocina de alarma y luz estroboscópica</t>
  </si>
  <si>
    <t>Amplificador de audio</t>
  </si>
  <si>
    <t>Módulos monitoreos FCM 1</t>
  </si>
  <si>
    <t>Módulo monitor de una entrada</t>
  </si>
  <si>
    <t>Módulo de control notifier</t>
  </si>
  <si>
    <t>Detector humo Notifier FSP-851</t>
  </si>
  <si>
    <t>Baterías de 12V 7AMP</t>
  </si>
  <si>
    <t>Baterías de 12V 12AMP</t>
  </si>
  <si>
    <t>Materiales eléctricos, cables de audio, fuentes de voltaje e instalación</t>
  </si>
  <si>
    <t>Rociadores colgantes semi embutido de cobertura estándar, respuesta rápida a 155°F, k=5.6</t>
  </si>
  <si>
    <t>Gabinete clase II, Potter Roemer, UL/FM, incluye extintor de 10 lbs y materiales</t>
  </si>
  <si>
    <t>Alquiler de andamios, elevadores y equipos para instalación</t>
  </si>
  <si>
    <t>Servicio de ingeniería y mano de obra</t>
  </si>
  <si>
    <t>TERMINACIONES ARQUITECTONICAS</t>
  </si>
  <si>
    <t>4.09.1</t>
  </si>
  <si>
    <t>NIVELES SOTERRADOS 4,3,2</t>
  </si>
  <si>
    <t>NIVELES SOTERRADOS 1</t>
  </si>
  <si>
    <t>NIVELES LLEGADA AL 5TO NIVEL</t>
  </si>
  <si>
    <t>AZOTEA</t>
  </si>
  <si>
    <t>Piso de porcelanato en baños, de 0.60 X 0.60m, esnaltado, de alto transito, junta rectificada, resistente a la abrasión, y acabado con brillo. Color disponible en 10 tonalides (1 tonalidad por nivel, ver dossier de materiales)</t>
  </si>
  <si>
    <t>Piso interior en cemento pulido, de alto transito , acabado de alto brillo, color gris claro [pigmentación a base de cemento blanco], incluye suministro de hormigón 220 kg/m2, e=5 cm., nivelación, corte y sellado de juntas.</t>
  </si>
  <si>
    <t>Zócalo reivindido a 1.5 cm en muros sobre piso de cemento pulido, acabado acorde a superficie del muro [gañete y pintura.</t>
  </si>
  <si>
    <t>Mt.</t>
  </si>
  <si>
    <t>Revestimiento de porcelanato en baños, de 1.20 X 0.60m, colocado a 10° de inclinación. Esnaltado, de alto transito, junta rectificada, resistente a la abrasión y acabado con brillo. Color disponible en 10 tonalides (1 tonalidad por nivel, ver dossier de materiales)</t>
  </si>
  <si>
    <t>Revestimiento en muros interiores caja de escalera principal, en mármol travertino, tamaño 0.90 o x 0.90 m, rectificado, pulido, color nacer claro, 2 cm de espesor.</t>
  </si>
  <si>
    <t>Revestimiento de porcelanato tipo mosaico sobre tope de cocina, de 0.30 x 0.30 m, con junta rectificada, acabado con brillo, color gris claro o blanco.</t>
  </si>
  <si>
    <t>Revestimiento acustico de espuma de poluretano, muros interiores cuarto planta eléctrica.</t>
  </si>
  <si>
    <t>Revestimiento de escalones escalera principal en mármol travertino, tamaño 0.90 o x 0.90 m, rectificado, pulido, color nacer claro, 2 cm de espesor.Huella de 0.325 m.</t>
  </si>
  <si>
    <t>Revestimiento de escalones escalera principal en mármol travertino, rectificado, tamaño 0.90 o x 0.90 m, pulido, color nacer claro, 2 cm de espesor. Contrahuella de 0.174 m</t>
  </si>
  <si>
    <t>Revestimiento de descanso de escalera principal en mármol travertino, rectificado, tamaño 0.90 o x 0.90 m, pulido, color nacer claro, 2 cm de espesor.</t>
  </si>
  <si>
    <t>Baranda de vidrio templado andada con pernos de fijación, escalera principal (h=1.01 m)</t>
  </si>
  <si>
    <t>Baranda de acero inoxidable con tubos de 1 1/2° andado al muro, escalera principal.</t>
  </si>
  <si>
    <t>Pintura Acrílica Interior (paredes)</t>
  </si>
  <si>
    <t>Pintura Verdes Nteriores y vigas del parqueo</t>
  </si>
  <si>
    <t>Pintura granulosa y para losas del parqueo</t>
  </si>
  <si>
    <t>Espejo de 0.93m x 0.95 m, canteado (e=3/16°)</t>
  </si>
  <si>
    <t>Porta papel higiénico, en acero inoxidable</t>
  </si>
  <si>
    <t>Ud$.</t>
  </si>
  <si>
    <t>Dispensador automático de papel toalla en rollo/Recipiente para desechos convertible para empotrar. Fabricado en acero inoxidable con acabado satinado. Opera con baterías</t>
  </si>
  <si>
    <t>Dispensador de jabón sobre pared, en acero inoxidable, forma rectangular</t>
  </si>
  <si>
    <t>Dispensador Automático de Papel Toalla en Rollo/Recipiente para Desechos Convertible para Empotrar. Fabricado en acero inoxidable con acabado satinado. Opera con baterías</t>
  </si>
  <si>
    <t>Zafacón rectangular en acero inoxidable, dimensiones aprox. De 20.7 x 27.5 x 60 cm</t>
  </si>
  <si>
    <t>1.22.01</t>
  </si>
  <si>
    <t>Suministro e instalación de 3 tope de granito natural de 0.95 x 0.60 m, con faldón en L de 0.55m de altura y zocalo de 0.10 m de altura, incluyendo hueco para empotrar 1 lavamanos.</t>
  </si>
  <si>
    <t>1.22.02</t>
  </si>
  <si>
    <t>Estructura metálica de soporte de 0.95 ml</t>
  </si>
  <si>
    <t>1.22.03</t>
  </si>
  <si>
    <t>Perforación y pulido de hueco para lavamanos bajo tope</t>
  </si>
  <si>
    <t>Paragonas reflectivo de goma, para parqueso: incluye anclalas</t>
  </si>
  <si>
    <t>Señalización Parqueos</t>
  </si>
  <si>
    <t>Esquineros reflectivos de goma. Incluye andajes.</t>
  </si>
  <si>
    <t>Platón metálico cuadriculado tipo grilla</t>
  </si>
  <si>
    <t>Platón dengelas con estructura metálica separación max. de 24°</t>
  </si>
  <si>
    <t>División en dengelas reforzado a dos caras con estructura metálica de acero galvanizado (H=3.09m)</t>
  </si>
  <si>
    <t>Suministro y colocación de gabinete de piso terminado en melanina hidrófuga sin tirador, acabado mate, con zocalo inferior de por recubierto en chapa de aluminio</t>
  </si>
  <si>
    <t>Suministro y colocación de gabinete de pared terminado en melanina hidrófuga sin tirador, acabado mate</t>
  </si>
  <si>
    <t>Suministro e instalación de tope de granito natural, color negro tan calarial, pulido, espesor 2 cm, incluyendo hueco para empotrir tras abajo.</t>
  </si>
  <si>
    <t>Suministro e instalacion de tope de granito natural, color negro San Gabriel, pulido, espesor 2 cm, incluyendo hueco para empotrar fregadero.</t>
  </si>
  <si>
    <t>Piso de porcelanato en baños, de 0.60 X 0.60m, esmaltado, de alto transito, junta rectificado, resistente a la abrasión, y acabado con brillo. Color disponible en 10 tonalides (1 tonalidad por nivel, ver dossier de materiales)</t>
  </si>
  <si>
    <t>Piso interior en cemento pulido, de alto transito, acabado de alto brillo, color gris claro (pigmentación a base de cemento blanco), incluye suministro de hormigón 210 kg/m2, e=5 cm., nivelación, corte y sellado de juntas.</t>
  </si>
  <si>
    <t>Zócalo rehumildo a 1.5 cm en muros sobre piso de cemento pulido, acabado acorde a superficie del muro (pañete y pintura)</t>
  </si>
  <si>
    <t>Mi.</t>
  </si>
  <si>
    <t>Revestimiento de porcelanato en baños, de 1.20 X 0.60m, colocado a 10" de inclinación. Esmaltado, de alto transito, junta rectificada, resistente a la abrasión y acabado con brillo. Color disponible en 10 tonalides (1 tonalidad por nivel, ver dossier de materiales)</t>
  </si>
  <si>
    <t>Revestimiento en muros interiores caja de escalera principal, en mármol travertino claro, tamaño 0.90 0x 0.90 m,rectificado, pulido, 2 cm de espesor.</t>
  </si>
  <si>
    <t>Revestimiento de escalones escalera principal en mármol travertino claro, tamaño 0.90 0x 0.90 m, rectificado, pulido, 2 cm de espesor-líuela de 0.325 m.</t>
  </si>
  <si>
    <t>Revestimiento de escalones escalera principal en mármol travertino claro, rectificado, tamaño 0.90 0x 0.90 m, pulido, 2 cm de espesor. Contrahuella de 0.174 m</t>
  </si>
  <si>
    <t>Revestimiento de descanso de escalera principal en mármol travertino claro, rectificado, tamaño 0.90 0x 0.90 m, pulido,2 cm de espesor.</t>
  </si>
  <si>
    <t>Baranda de vidrio templado andada con penos de fijación, escalera principal (h=1.01 m)</t>
  </si>
  <si>
    <t>Baranda de acero inoxidable con tubos de 1 1/2" anclado al muro, escalera principal</t>
  </si>
  <si>
    <t>Pintura techos interiores y vigas del parqueo</t>
  </si>
  <si>
    <t>Pintura techo grafito gris</t>
  </si>
  <si>
    <t>Espejo de 0.25 m X 0.95 m, sapteado (e=3/16")</t>
  </si>
  <si>
    <t>Porta de petilla fresca, exacero inoxidable</t>
  </si>
  <si>
    <t>Dimensador automático de papel toalla en rollo/Recipiente para un envío convenable para empotrar. Abricado en acero inoxidable con el baco o salivado. Opera con la leona</t>
  </si>
  <si>
    <t>Propensador de labón sobre papel, en acero inoxidable, forma rectangular.</t>
  </si>
  <si>
    <t>Secador de manos, secado rápido, en acero inoxidable, manos libres automático infrarrojo / 1800w / motor con escotillas/ luz led. Forma rectangular.</t>
  </si>
  <si>
    <t>Zafadón rectangular en acero inoxidable, dimensiones aprox. de 20.7 x 27.5 x 60 cm</t>
  </si>
  <si>
    <t>2.20.01</t>
  </si>
  <si>
    <t>Suministro e instalación de 1 tope de granito natural de 0.95 x 0.60 m, con faldón en L de 0.55m de altura y zocalo de 0.10 m de altura, color negro San David, pulido, espesor 2 cm, incluyendo hueco para empotrar 1 lavamanos.</t>
  </si>
  <si>
    <t>2.20.02</t>
  </si>
  <si>
    <t>2.20.03</t>
  </si>
  <si>
    <t>Perforacion y pulido de hueco para lavamanos bajo tope</t>
  </si>
  <si>
    <t>Paragonas reflectivo de goma, para parqueos. Incluye andajes</t>
  </si>
  <si>
    <t>Esquineros reflectivos de goma. Incluye andajes</t>
  </si>
  <si>
    <t>Plafón metálico cuadriculado tipo grúia</t>
  </si>
  <si>
    <t>Plafón deneglas</t>
  </si>
  <si>
    <t>División en deneglas reforzado a dos caras con estructura metálica de acero galvanizado (H=3,05m)</t>
  </si>
  <si>
    <t>Suministro y colocacion de gabinete de piso terminado en melamina hidrófuga sin tirador, acabado mate, con zocalo inferior de pvc recubierto en chapa de aluminio</t>
  </si>
  <si>
    <t>Suministro y colocacion de gabinete de pared terminado en melamina hidrófuga sin tirador, acabado mate</t>
  </si>
  <si>
    <t>4.09.2</t>
  </si>
  <si>
    <t>4.09.3</t>
  </si>
  <si>
    <t>Piso de porcelanato en baños, de 0.60 X 0.60m, esmaltado, de alto transito, junta rectificada, resistente a la abrasión, y acabado con brillo. Color disponible en 10 tonalidad (1 tonalidad por nivel, ver dossier de materiales)</t>
  </si>
  <si>
    <t>Piso exterior de tabletas de hormigón, 0.60 m x 1.20m, acabado liso, color gris claro, espesor máximo 3 cm.</t>
  </si>
  <si>
    <t>Piso interior del nivel de llegada en mármol travertino claro, tamaño 0.90 ðx 0.90 m,rectificado, pulido, 2 cm de espesor.</t>
  </si>
  <si>
    <t>Zócalo en mármol travertino claro, tamaño 0.90 ðx 0.90 m,rectificado, pulido, 2 cm de espesor.</t>
  </si>
  <si>
    <t>Piso de dispensario medico en porcelanato de 0.40 X 0.40m, esmaltado, de alto transito, junta rectificada, resistente a la abrasión, y acabado mate. Disponible en color gris (aspecto de hormigón visto), blanco o beige.</t>
  </si>
  <si>
    <t>Zócalo en porcelanato de 0.40 X 0.10m, esmaltado, de alto transito, junta rectificada, resistente a la abrasión, y acabado mate. Disponible en color gris (aspecto de hormigón visto), blanco o beige.</t>
  </si>
  <si>
    <t>Piso de cerámica de 0.20 x 0.20m, acabado brillante, color blanco, calidad de 1ra, baja absorción de agua ,resistente a abrasión y químicos.</t>
  </si>
  <si>
    <t>Piso interior en cemento pulido, de alto transito , acabado de alto brillo, color gris claro (pigmentación a base de cemento blanco), incluye suministro de hormigón 210 kg/m2, e=5 cm., nivelación, corte y sellado de juntas.</t>
  </si>
  <si>
    <t>Piso de cerámica de 0.30 x 0.30m, acabado brillante, color blanco, calidad de 1ra, baja absorción de agua, resistente a abrasión y químicos.</t>
  </si>
  <si>
    <t>Zócalo de cerámica de 0.30 x 0.10m, color blanco, calidad de 1ra, baja absorción de agua, resistente a abrasión y químicos.</t>
  </si>
  <si>
    <t>Zócalo refundido a 1.5 cm en muros sobre piso de cemento pulido, acabado acorde a superficie del muro (pañete y pintura)</t>
  </si>
  <si>
    <t>Revestimiento de porcelanato en baños, de 1.20 X 0.60m, colocado a 10" de inclinación. Esmaltado, de alto transito, junta rectificada, resistente a la abrasión y acabado con brillo. Color disponible en 10 tonalidad (1 tonalidad por nivel, ver dossier de materiales)</t>
  </si>
  <si>
    <t>Revestimiento de cerámica de 0.20 x 0.20m, acabado brillante, color blanco, calidad de 1ra, baja absorción de agua ,resistente a abrasión y químicos.</t>
  </si>
  <si>
    <t>Revestimiento en muros interiores caja de escalera principal, en mármol travertino claro, tamaño 0.90 ðx 0.90 m, pulido, 2 cm de espesor.</t>
  </si>
  <si>
    <t>Revestimiento de porcelanato tipo mosaico sobre topo de cocina, de 0.30 x 0.30 m, con junta rectificada, acabado con brillo, color gris claro o blanco.</t>
  </si>
  <si>
    <t>Revestimiento de cerámica de 0.30 x 0.30m, acabado brillante, color blanco, calidad de 1ra, baja absorción de agua, resistente a abrasión y químicos.</t>
  </si>
  <si>
    <t>Fárico veneciano color gris y blanco (pared con lavamanos común en baños del nivel de llegada)</t>
  </si>
  <si>
    <t>Revestimiento de escaleras escalera principal en mármol travertino claro, tamaño 0.90 ðx 0.90 m, rectificado, pulido, 2 cm de espesor.Huella de 0.325 m.</t>
  </si>
  <si>
    <t>Revestimiento de escalones escalera principal en mármol travertino claro, rectificado, tamaño 0.90 ðx 0.90 m, pulido, 2 cm de espesor. Contrahuella de 0.18A m</t>
  </si>
  <si>
    <t>Revestimiento de descanso de escalera principal en mármol travertino claro, rectificado, tamaño 0.30 ðx 0.90 m, pulido,2 cm de espesor.</t>
  </si>
  <si>
    <t>Revestimiento de escalones escalera de emergencia en porcelanato esmaltado, de alto transito, junta rectificada, resistente a la abrasión, acabado mate, color gris (aspecto de hormigón visto). Hueta de 0.33 m.</t>
  </si>
  <si>
    <t>Revestimiento de escalones escalera de emergencia en porcelanato esmaltado, de alto transito, junta rectificada, resistente a la abrasión, acabado mate, color gris (aspecto de hormigón visto). Contrahuella de 0.18 m.</t>
  </si>
  <si>
    <t>Revestimiento de descanso de escalera de emergencia en en porcelanato esmaltado, de alto transito, junta rectificada, resistente a la abrasión, acabado mate, color gris (aspecto de hormigón visto)</t>
  </si>
  <si>
    <t>Baranía de vidrio templado andada con pernos de fijación, escalera de emergencia (h=1.65)</t>
  </si>
  <si>
    <t>Baranía de acero inoxidable con tubos de 1 1/2" , andado al muro Escalerade emergencia</t>
  </si>
  <si>
    <t>Baranía de vidrio templado andada con pernos de fijación, escalera principal (h=1.01 m)</t>
  </si>
  <si>
    <t>Baranía de acero inoxidable con tubos de 1 1/2" andado al muro, escalera principal</t>
  </si>
  <si>
    <t>Pintura Acrílica interior (paredes)</t>
  </si>
  <si>
    <t>Pintura techo</t>
  </si>
  <si>
    <t>Revestimiento en Granjalast color gris grafito en muros de bloques de ascensores incluye primer, aplicación y terminación (nivel 1-7)</t>
  </si>
  <si>
    <t>Pintura acrílica exterior (verja perimetral, caseta de gas, basura y salida de emergencia de soterrados)</t>
  </si>
  <si>
    <t>Barra de apoyo en acero inoxidable</t>
  </si>
  <si>
    <t>Espelo 3.48 m x 0.96 m, canteado (e=3/16")</t>
  </si>
  <si>
    <t>Espelo 1.38m x 0.96m, canteado (e=3/16")</t>
  </si>
  <si>
    <t>Espelos 2.48 m x 0.96m, canteado (e=3/16")</t>
  </si>
  <si>
    <t>Dispensador automático de papel toalla en rollo/Recipiente para desechos convertible para empotrar. Fabricado en acero inoxidable con acabado estimado. Opera con baterías</t>
  </si>
  <si>
    <t>Secador de manos ,secado rápido, en acero inoxidable, manos libres automático primero / 1.800w / motor con escobillas/ luz led. Forma rectangular</t>
  </si>
  <si>
    <t>Olusiones de baños en fenófico sólido con herrajes y cerradura en acero inoxidable</t>
  </si>
  <si>
    <t>Zubcón rectangular en acero inoxidable, dimensiones aprox. De 20.7 x 27.5 x 60 cm</t>
  </si>
  <si>
    <t>3.41.01</t>
  </si>
  <si>
    <t>Suministro e instalación de 1 tope de granito natural de 3.40 x 0.60 m, con faldón en L de 0.55m de altura y vacalo de 0.10 m de altura, color negro San Gabriel, pulido, espesor 2 cm, incluyendo hueco para empotrar 3 lavamanos.</t>
  </si>
  <si>
    <t>3.41.02</t>
  </si>
  <si>
    <t>Estructura metálica de soporte de 3.4 ml</t>
  </si>
  <si>
    <t>3.41.03</t>
  </si>
  <si>
    <t>3.42.01</t>
  </si>
  <si>
    <t>Suministro e instalación de 1 tope de granito natural de 1.39m x 0.60 m, con faldón en L de 0.55m de altura y vacalo de 0.10 m de altura, color negro San Gabriel, pulido, espesor 2 cm, incluyendo hueco para empotrar 1 lavamanos.</t>
  </si>
  <si>
    <t>3.42.02</t>
  </si>
  <si>
    <t>Estructura metálica de soporte de 1.39 ml</t>
  </si>
  <si>
    <t>3.42.03</t>
  </si>
  <si>
    <t>3.43.01</t>
  </si>
  <si>
    <t>Suministro e instalación de 8 topes de granito natural en baño de caballeros y de damas, de 2.5m x 0.60 m, con faldón frontal de 0.55m de altura y vacalo de 0.10 m de altura, color negro San Gabriel, pulido, espesor 2 cm, incluyendo hueco para empotrar 3 lavamanos.</t>
  </si>
  <si>
    <t>3.43.02</t>
  </si>
  <si>
    <t>Suministro e instalación de 4 topes de granito natural en baño de damas, de 2.23m x 0.60 m, con faldón frontal de 0.45m de altura y vacalo de 0.10 m de altura, color negro San Gabriel, pulido, espesor 2 cm, sin huecos.</t>
  </si>
  <si>
    <t>3.43.03</t>
  </si>
  <si>
    <t>Suministro e instalación de 4 topes de granito natural en baño de damas, de 2.63m x 0.60 m, con faldón frontal de 0.45m de altura y vacalo de 0.10 m de altura, color negro San Gabriel, pulido, espesor 2 cm, sin huecos.</t>
  </si>
  <si>
    <t>3.43.04</t>
  </si>
  <si>
    <t>Estructura metálica de soporte de 2.5ml, 2.23ml y 2.63 ml</t>
  </si>
  <si>
    <t>3.43.05</t>
  </si>
  <si>
    <t>Suministro y colocacion de gabinete de piso terminado en melanina hidrófuga sin tirador, acabado brillante, con rocado inferior de por recubierto en chapa de aluminio</t>
  </si>
  <si>
    <t>Suministro e instalación de tope en cuarto blanco recto, pulido, 2 cm de espesor, incluyendo hueco para empotrar fregadero simple para la cocina y tope para mostrador</t>
  </si>
  <si>
    <t>Mostrador con gabinete de piso con tirador, 1.10 m de altura, 0.30 m de profundidad y 6.99m de longitud, terminado en melanina hidrófuga, acabado brillante.</t>
  </si>
  <si>
    <t>Suministro y colocacion de gabinete de pared terminado en melanina hidrófuga sin tirador, acabado brillante</t>
  </si>
  <si>
    <t>Suministro y colocacion de despensa terminada en melanina hidrófuga sin tirador, acabado brillante</t>
  </si>
  <si>
    <t>Suministro e instalación de tope de cocina en granito natural color negro San Gabriel, pulido, espesor 2 cm, incluyendo hueco para empotrar fregadero simple</t>
  </si>
  <si>
    <t>Suministro y colocación de gabinete de piso terminado en melanina hidrófuga sin tirador, acabado brillante, con tocado inferior de pvc recubierto en chapa de aluminio</t>
  </si>
  <si>
    <t>PL.</t>
  </si>
  <si>
    <t>Suministro e instalación de tope de cocina, en granito natural color negro San Gabriel, pulido, espesor 2 cm, incluyendo hueco para empotrar fregadero simple</t>
  </si>
  <si>
    <t>Plafón denegasa con estructura metálica separación max. de 24°</t>
  </si>
  <si>
    <t>División en denegasa reforzado a dos caras con estructura metálica de acero galvanizado (H=2.85m)</t>
  </si>
  <si>
    <t>División en durock a una cara, H&lt;2.85m (recubrimiento de papel del baño con inodoros suspendidos y como base de revestimiento cerámico)</t>
  </si>
  <si>
    <t>Suministro e instalación de barreras de control vehicular automática para accesos de hasta 3.75 m. Motor de 24 V DC , con sistema de emergencia por baterías, sistema de detección de obstaculos y de regulación de la velocidad de apertura. Carcas de soporte y mastín en acero inoxidable con iluminación led. H max. del soporte = 1.25 m. Facilidad de integración con otros sistemas de control de acceso y lectores de tarjetas</t>
  </si>
  <si>
    <t>Barrera de control de acceso peatonal de 2 carriles, mediante torniquetes ópticos bidireccionales de altura normal, en acero inoxidable, con barrera de hojas en vidrio templado o acrílico. Ancho de pasillo de 91.4 m (35°). Velocidad de tráfico. 30-40 personas por minuto. Capacidad para conectar con cualquier tipo de licencia. Incluye kit con panel, lectoras de control de acceso y software de instalación.</t>
  </si>
  <si>
    <t>Bordillos en hormigón 210 kg/m2</t>
  </si>
  <si>
    <t>Diseño, suministro e instalación de letrero corporativo (tipo totem vertical, 1.5 x 4m con estructura metálica portante, revestida en chapa de acero galvanizado o inoxidable de 1.5 mm termoliqueada, con letras cortadas a laser en acero inoxidable acabado en pintura automotriz (colores según detalle) y soporte metálico de lijación sobre base o pavimento. Resistente a vientos huracanados.</t>
  </si>
  <si>
    <t>3.61.01</t>
  </si>
  <si>
    <t>Releno compactado</t>
  </si>
  <si>
    <t>3.61.02</t>
  </si>
  <si>
    <t>Granrote</t>
  </si>
  <si>
    <t>3.61.03</t>
  </si>
  <si>
    <t>Fino e impermeabilizante</t>
  </si>
  <si>
    <t>3.61.04</t>
  </si>
  <si>
    <t>Alcorque de hormigón, 1.10 m dm exterior y 0.48 m de dm hueco interior</t>
  </si>
  <si>
    <t>uds</t>
  </si>
  <si>
    <t>3.61.05</t>
  </si>
  <si>
    <t>Membrana Geotextil drenante</t>
  </si>
  <si>
    <t>3.61.06</t>
  </si>
  <si>
    <t>Membrana Geotextil antiralees</t>
  </si>
  <si>
    <t>Arborización de jardineras con arbol de baja altura (3 palmeras enanas)</t>
  </si>
  <si>
    <t>3.62.02</t>
  </si>
  <si>
    <t>3.62.03</t>
  </si>
  <si>
    <t>3.62.04</t>
  </si>
  <si>
    <t>3.62.05</t>
  </si>
  <si>
    <t>Arborización de jardineras (siembra de 3 palmeras enanas)</t>
  </si>
  <si>
    <t>3.62.06</t>
  </si>
  <si>
    <t>Mueble modular de 1.50 m x 0.60 m para dispensarlo medico con gabinete de piso, tope en acero inoxidable con hueco para empotrar fregadero sencillo.</t>
  </si>
  <si>
    <t>Cerramiento de malla electrosoldada galvanizada (recu)trimiento de zinc por inmersión en calientes de alta resistencia, Ø3-4 mm, con entramado rectangular de 100x50 mm de abertura. Incluye barras de sujeción, abrazaderas, marco con tubulares de Ø 2" y tornillería,todo un acero inoxidable. Ver detalle cerramiento rampa vehicular y caja de escalera de emergencia sobre nivel de calle.</t>
  </si>
  <si>
    <t>Bancos de hormigón</t>
  </si>
  <si>
    <t>UND.</t>
  </si>
  <si>
    <t>Pintura de mural artístico de 16.91 x 2.2 m (muro exterior caseta salida de emergencia</t>
  </si>
  <si>
    <t>Piso de porcelanato en baños, de 0.60 X 0.60m, esmailado, de alto transito, junta rectificada, resistente a la abrasión, y acabado con brillo. Color disponible en 10 tonalides (1 tonalidad por nivel, ver dossier de materiales)</t>
  </si>
  <si>
    <t>Piso interior en cemento pulido, de alto transito , acabado de alto brillo, color gris claro (pigmentación a base de cemento blanco). Incluye suministro de hormigón 210 kg/m2, e-s cm., nivelación, corte y sellado de juntas.</t>
  </si>
  <si>
    <t>Zocalo de cerámica de 0.30 x 0.10m, color blanco, calidad de 1ra, baja absorción de agua, resistente a abrasión y químicos.</t>
  </si>
  <si>
    <t>Zocalo rehundido a 1.5 cm en muros sobre piso de cemento pulido, acabado acorde a superficie del muro (paleta y pintura)</t>
  </si>
  <si>
    <t>Revestimiento de porcelanato en baños, de 1.20 X 0.60m, colocado a 10° de inclinación. Esmailado, de alto transito, junta rectificada, resistente a la abrasión y acabado con brillo. Color disponible en 10 tonalides (1 tonalidad por nivel, ver dossier de materiales)</t>
  </si>
  <si>
    <t>Revestimiento en muros interiores caja de escalera principal, en mármol travertino claro, tamaño 0.90 0x 0.90 m, pulido, 2 cm de espesor.</t>
  </si>
  <si>
    <t>Revestimiento de escalones escalera principal en mármol travertino claro, tamaño 0.90 0x 0.90 m, rectificada, pulido, 2 cm de espesor.Huella de 0.325 m.</t>
  </si>
  <si>
    <t>Revestimiento de escalones escalera principal en mármol travertino claro, rectificado, tamaño 0.90 0x 0.90 m, pulido, 2 cm de espesor. Contrahuella de 0.184 m</t>
  </si>
  <si>
    <t>Revestimiento de escalones escalera de emergencia en porcelanato espiritualo, de alto transito, junta rectificada, resistente a la abrasión, acabado mate, color gris (aspecto de hormigón visto), Huella de 0.33 m.</t>
  </si>
  <si>
    <t>Revestimiento de escalones escalera de emergencia en porcelanato ejemplario, de alto transito, junta rectificada, resistente a la abrasión, acabado mate, color gris (aspecto de hormigón visto). Contrahuella de 0.18 m.</t>
  </si>
  <si>
    <t>Baranda de vidrio templado andada con pernos de fijación, escalera de emergencia (h=1.65)</t>
  </si>
  <si>
    <t>Baranda de acero inoxidable con tubos de 1 1/2", andado al muro Escalerade emergencia</t>
  </si>
  <si>
    <t>Baranda de acero inoxidable con tubos de 1 1/2" andado al muro, escalera principal</t>
  </si>
  <si>
    <t>Barra de apoyo</t>
  </si>
  <si>
    <t>Espejo de 2.48 m x 0.96 m, canteado (e=3/16")</t>
  </si>
  <si>
    <t>Espejo de 1.58 m x 0.96 m, canteado (e=3/16")</t>
  </si>
  <si>
    <t>Dispensador automático de papel toalla en rollo/Recipiente para desechos convertible para empotrar. Fabricado en acero inoxidable con acabado salinado. Opera con baterías</t>
  </si>
  <si>
    <t>Secador de manos ,secado rápido, en acero inoxidable, manos libres automático infrarrojo / 1800w /motor con eucobillas/ luz led. Forma rectangular</t>
  </si>
  <si>
    <t>Secador de manos empotrado ,secado rápido en acero inoxidable, manos libres automático infrarrojo / 1800w /motor con eucobillas/ luz led . Forma rectangular, empotrable en pared (baño administrador general)</t>
  </si>
  <si>
    <t>Divisiones de baños en fenólico sólido con herrajes y cerradura en acero inoxidable.</t>
  </si>
  <si>
    <t>4.29.01</t>
  </si>
  <si>
    <t>Suministro e instalación de 2 topes de granito natural en baño de caballeros y de damas, de 2.5m x 0.60 m, con falden frontal de 0.55m de altura y tocalo de 0.10 m de altura,color negro San Gabriel, pulido, espesor 2 cm, incluyendo hueco para empotrar 3 lavamanos.</t>
  </si>
  <si>
    <t>4.29.02</t>
  </si>
  <si>
    <t>Suministro e instalación de 1 tope de granito natural en baño de damas, de 2.23m x 0.60 m, con falden frontal de 0.45m de altura y tocalo de 0.10 m de altura, color negro San Gabriel, pulido, espesor 2 cm, sin huecos.</t>
  </si>
  <si>
    <t>4.29.03</t>
  </si>
  <si>
    <t>Suministro e instalación de 1 tope de granito natural en baño de damas, de 2.5m n x 0.60 m, con faldón frontal de 0.45m de altura y zocalo de 0.10 m de altura, color negro San Gabriel, pulido, espesor 2 cm, sin huecos.</t>
  </si>
  <si>
    <t>4.29.04</t>
  </si>
  <si>
    <t>4.29.05</t>
  </si>
  <si>
    <t>4.30.01</t>
  </si>
  <si>
    <t>Suministro e instalación de 1 tope de granito natural de 1.60m x 0.60 m, con faldón en L de 0.45m de altura y zocalo de 0.10 m de altura, incluyendo hueco para empotrar 1 lavamanos.</t>
  </si>
  <si>
    <t>4.30.02</t>
  </si>
  <si>
    <t>Estructura metálica de soporte de 1.60 ml</t>
  </si>
  <si>
    <t>4.30.03</t>
  </si>
  <si>
    <t>Suministro y colocación de gati nete de piso terminado en melamina hidrófuga sin tirador, acabado brillante, con zocado inferior de pvc recubierto en chapa de aluminio</t>
  </si>
  <si>
    <t>Suministro y colocación de gabinete de pared terminado en melamina hidrófuga sin tirador, acabado brillante</t>
  </si>
  <si>
    <t>Suministro y colocación de despensa terminada en melamina hidrófuga sin tirador, acabado brillante</t>
  </si>
  <si>
    <t>Suministro y colocación de gati nete de piso terminado en melamina hidrófuga sin tirador, acabado brillante, con zocado inferior de pvc recubierto en chapa de aluminio.</t>
  </si>
  <si>
    <t>Suministro e instalación de tope de cocina en cuarzo blanco recto, pulido 2, cm de espesor, incluyendo hueco para empotrar fregadero simple y estufa de cocina tipo placa.</t>
  </si>
  <si>
    <t>Platón densajasa con estructura metálica separación max. de 24°</t>
  </si>
  <si>
    <t>DNaseo en durock a una cara H=2.85m, (recubrimento de pared del baño con inodoros suspendidos y como base de revestimiento cerámico)</t>
  </si>
  <si>
    <t>Suplinistro e instalación de mueble para bar en MDF hidrófuga con gabinetes de piso, acabado brillante</t>
  </si>
  <si>
    <t>4.43.01</t>
  </si>
  <si>
    <t>Suministro e instalacion de tope en cuarto blanco recto, pulido, 2 cm de espesor, incluyendo hueco para empotrar fregadero simple</t>
  </si>
  <si>
    <t>4.09.4</t>
  </si>
  <si>
    <t>4.09.5</t>
  </si>
  <si>
    <t>Piso de porcelanato en baños, de 0.60 X 0.50m, esmaltado, de alto transito, junta rectificada, resistente a la abrasión, y acabado con brillo. Color disponible en 10 tonalides (1 tonalidad por nivel, ver dossier de materiales)</t>
  </si>
  <si>
    <t>Piso interior en cemento pulido, de alto transito , acabado de alto brillo, color gris claro [bijamentación a base de cemento blanco], incluye suministro de hormigón 210 kg/m2, e=5 cm., nivelación, corte y sellado de juntas.</t>
  </si>
  <si>
    <t>Deck de madera natural de cumanu, piezas de 0.14 m de ancho y x 0.025 m de espesor, longitud variable, incluye parales, piezas de soporte, y anclaje.</t>
  </si>
  <si>
    <t>Zocado rehumidio a 1.5 cm en muros sobre piso de cemento pulido, acabado acorde a superficie del muro [pañete y pintura]</t>
  </si>
  <si>
    <t>Revestimiento de porcelanato en baños, de 1.20 X 0.60m, colocado a 10" de inclinación. Esmailzado, de alto transito, junta rectificada, resistente a la abrasión y acabado con brillo. Color disponible en 10 tonalides (1 tonalidad por nivel, ver dossier de materiales)</t>
  </si>
  <si>
    <t>Revestimiento de escalones escalera principal en mármol travertino claro, rectificado, tamaño 0.90 0x 0.90 m, pulido, 2 cm de espesor. Contrabuelía de 0.184 m</t>
  </si>
  <si>
    <t>Revegimiento de escalones escalera de emergencia en porcelanato esmailzado, de alto transito, junta rectificada, resistente a la abrasión, acabado mate, color gris (aspecto de hormigón vióto). Hjalilla de 0.33 m.</t>
  </si>
  <si>
    <t>5.29.01</t>
  </si>
  <si>
    <t>5.29.02</t>
  </si>
  <si>
    <t>5.29.03</t>
  </si>
  <si>
    <t>Suministro e instalación de 1 tope de granito natural en baño de damas, de 2.63m x 0.60 m, con faldón frontal de 0.45m de altura y zocalo de 0.10 m de altura, color negro San Gabriel, pulido, espesor 2 cm, sin huecos.</t>
  </si>
  <si>
    <t>5.29.04</t>
  </si>
  <si>
    <t>5.29.05</t>
  </si>
  <si>
    <t>Suministro y colocación de gabinete de piso terminado en melanina hidrófuga sin tirador, acabado mate, con zocalo inferior de pvc recubierto en chapa de aluminio</t>
  </si>
  <si>
    <t>Suministro y colocación de gabinete de piso terminado en melanina hidrófuga sin tirador, acabado mate.</t>
  </si>
  <si>
    <t>Suministro y colocación de despensa terminada en melanina hidrófuga sin tirador, acabado mate.</t>
  </si>
  <si>
    <t>Suministro e instalación de tope de granito de cocina, color negro San Gabriel, pulido, espesor 2 cm, incluyendo hueco para empotrar fregadero simple y estufa de cocina tipo placa.</t>
  </si>
  <si>
    <t>Plafon denselas con estructura metálica separación max. de 24"</t>
  </si>
  <si>
    <t>División en durock a una cara, H=2.85m (recubrimento de pared del baño con inodoros suspendidos y como base de revestimiento cerámico)</t>
  </si>
  <si>
    <t>Escotilla con cubierta y bordillo en acero galvanizado calibre 14, acabado con pintura de esmalte, hueco para escotilla de 0.7620m x 1.3716m [30°x54°], H del bordillo =12", apertura a 90 ", pestillo de cierre con manijas interiores y exteriores y candado (ubicación módulo principal de ascensores)</t>
  </si>
  <si>
    <t>Escalera tipo marinero en acero inoxidable empotrada a muro, 0.91 x 3.97 m , contrahuelía de 0.24 m , con jaula de protección (ubicación módulo de servicios)</t>
  </si>
  <si>
    <t>Escalera tipo marinero en acero inoxidable empotrada a muro , 0.90 x 3.97 m , contrahuelía de 0.24 m (ubicación módulo principal de ascensores)</t>
  </si>
  <si>
    <t>Jardinería de 1.50 m de 0m y 0.34 m de altura en acero inoxidable (base de columna estructura metálica nervada). Ver detalle 7 Base de canopL Roja A1.17.088</t>
  </si>
  <si>
    <t>1.3.14.12</t>
  </si>
  <si>
    <t>Reductor de Velocidad, Policia Acostado en Goma, ATC</t>
  </si>
  <si>
    <t>ml</t>
  </si>
  <si>
    <t>2.1.12.6</t>
  </si>
  <si>
    <t>Pruebas en General de Equipos y Puesta en Marcha de Edificio</t>
  </si>
  <si>
    <t>1.3.14.13</t>
  </si>
  <si>
    <t>Fumigación en sótanos de parqueos</t>
  </si>
  <si>
    <t>1.2.7.20</t>
  </si>
  <si>
    <t>Impermeabilización terraza en azotea, sistema de malla polimerica con cementicio y pintura impermeable</t>
  </si>
  <si>
    <t xml:space="preserve">Recubrimiento de granito natural color negro en faldón perimetral pisos 2do. Al 6to. </t>
  </si>
  <si>
    <t>3.3.2.12</t>
  </si>
  <si>
    <t xml:space="preserve">Ventanas de aluminio anodizado y vidrio templado según tabla de ventanas </t>
  </si>
  <si>
    <t xml:space="preserve">Señalética de impresión de tinta sobre aluminio dibond color plata cepillado.   Accesorios de fijación en acero inoxidable. Letras color azul oscuro Directorio de Plantas tamaño 18"x 36" </t>
  </si>
  <si>
    <t>Señalética de impresión de tinta sobre aluminio dibond color plata cepillado.   Accesorios de fijación en acero inoxidable. Letras color azul oscuro Rótulos direccionales tamaño 6"x 24"</t>
  </si>
  <si>
    <t>Señalética de impresión de tinta sobre aluminio dibond color plata cepillado.   Accesorios de fijación en acero inoxidable. Letras color azul oscuro.          Placas identificativas de espacios tamaño 12"x12"</t>
  </si>
  <si>
    <t xml:space="preserve">Letreros  de seguridad y evacuación en PVC espumado blanco, tamaño 7"x7" simbología color verde según estandares </t>
  </si>
  <si>
    <t>SEÑALETICAS</t>
  </si>
  <si>
    <t>Proyecto: Terminación del Edificio Oficinas Institucionales MINERD</t>
  </si>
  <si>
    <t>Supervisión y Fiscalización de Obra</t>
  </si>
  <si>
    <t>semana</t>
  </si>
  <si>
    <t>mod</t>
  </si>
  <si>
    <t>%</t>
  </si>
  <si>
    <t>yd2</t>
  </si>
  <si>
    <t>m2</t>
  </si>
  <si>
    <t>mes</t>
  </si>
  <si>
    <t>Costos de gestión de equipos</t>
  </si>
  <si>
    <t>zonas</t>
  </si>
  <si>
    <t>Arco detector de metalise de 6 zonas</t>
  </si>
  <si>
    <t>Escotilla con cubierta y bordillo en acero galvanizado calibre 14, acabado con pintura de esmalte. Hueco para escotilla de 0.9144m x 0.9144m [50°x56°], H del bordillo =12", apertura a 90 ", pestillo de cierre con manijas interiores y exteriores y candado (ubicación módulo de servicios)</t>
  </si>
  <si>
    <t>La partida imprevisto solo podrá ser utilizada previa autorización de MINERD.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</si>
</sst>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_(* \(#,##0.00\);_(* &quot;-&quot;??_);_(@_)"/>
    <numFmt numFmtId="164" formatCode="&quot;$&quot;#,##0;[Red]\-&quot;$&quot;#,##0"/>
    <numFmt numFmtId="165" formatCode="&quot;$&quot;#,##0.00;[Red]\-&quot;$&quot;#,##0.00"/>
    <numFmt numFmtId="166" formatCode="0.0000"/>
    <numFmt numFmtId="167" formatCode="#,##0.0_);\(#,##0.0\)"/>
    <numFmt numFmtId="168" formatCode="#,##0.00&quot; &quot;;&quot; (&quot;#,##0.00&quot;)&quot;;&quot; -&quot;#&quot; &quot;;@&quot; &quot;"/>
    <numFmt numFmtId="169" formatCode="[$-409]General"/>
    <numFmt numFmtId="170" formatCode="[$$-409]#,##0.00"/>
    <numFmt numFmtId="171" formatCode="0.000"/>
    <numFmt numFmtId="172" formatCode="_-* #,##0.00_-;\-* #,##0.00_-;_-* &quot;-&quot;??_-;_-@_-"/>
    <numFmt numFmtId="173" formatCode="0.000%"/>
  </numFmts>
  <fonts count="22" x14ac:knownFonts="1">
    <font>
      <sz val="11"/>
      <color theme="1"/>
      <name val="Calibri"/>
      <family val="2"/>
      <scheme val="minor"/>
    </font>
    <font>
      <sz val="11"/>
      <color indexed="8"/>
      <name val="Calibri"/>
      <family val="2"/>
    </font>
    <font>
      <sz val="10"/>
      <name val="Arial"/>
      <family val="2"/>
    </font>
    <font>
      <sz val="10"/>
      <name val="MS Sans Serif"/>
      <family val="2"/>
    </font>
    <font>
      <sz val="10"/>
      <color indexed="12"/>
      <name val="MS Sans Serif"/>
      <family val="2"/>
    </font>
    <font>
      <sz val="11"/>
      <color theme="1"/>
      <name val="Calibri"/>
      <family val="2"/>
      <scheme val="minor"/>
    </font>
    <font>
      <sz val="11"/>
      <color rgb="FF000000"/>
      <name val="Calibri"/>
      <family val="2"/>
    </font>
    <font>
      <sz val="16"/>
      <color theme="1"/>
      <name val="Calibri"/>
      <family val="2"/>
      <scheme val="minor"/>
    </font>
    <font>
      <b/>
      <i/>
      <sz val="18"/>
      <color theme="1"/>
      <name val="Times New Roman"/>
      <family val="1"/>
    </font>
    <font>
      <i/>
      <sz val="9"/>
      <color theme="1"/>
      <name val="Times New Roman"/>
      <family val="1"/>
    </font>
    <font>
      <b/>
      <sz val="11"/>
      <color theme="1"/>
      <name val="Calibri"/>
      <family val="2"/>
      <scheme val="minor"/>
    </font>
    <font>
      <b/>
      <sz val="12"/>
      <color theme="1"/>
      <name val="Arial Nova Light"/>
      <family val="2"/>
    </font>
    <font>
      <b/>
      <sz val="12"/>
      <name val="Arial Nova Light"/>
      <family val="2"/>
    </font>
    <font>
      <sz val="12"/>
      <name val="Arial Nova Light"/>
      <family val="2"/>
    </font>
    <font>
      <sz val="11"/>
      <name val="Arial Nova Light"/>
      <family val="2"/>
    </font>
    <font>
      <b/>
      <sz val="11"/>
      <name val="Arial Nova Light"/>
      <family val="2"/>
    </font>
    <font>
      <sz val="11"/>
      <color theme="1"/>
      <name val="Arial Nova Light"/>
      <family val="2"/>
    </font>
    <font>
      <b/>
      <sz val="12"/>
      <color theme="0"/>
      <name val="Arial Nova Light"/>
      <family val="2"/>
    </font>
    <font>
      <sz val="12"/>
      <color theme="0"/>
      <name val="Arial Nova Light"/>
      <family val="2"/>
    </font>
    <font>
      <sz val="14"/>
      <name val="Arial Nova Light"/>
      <family val="2"/>
    </font>
    <font>
      <b/>
      <sz val="16"/>
      <color theme="1"/>
      <name val="Arial Nova Light"/>
      <family val="2"/>
    </font>
    <font>
      <b/>
      <sz val="14"/>
      <color rgb="FF000000"/>
      <name val="Book Antiqua"/>
      <family val="1"/>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rgb="FFFFFF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theme="0"/>
      </left>
      <right style="thin">
        <color theme="0"/>
      </right>
      <top/>
      <bottom style="thin">
        <color theme="0"/>
      </bottom>
      <diagonal/>
    </border>
    <border>
      <left/>
      <right style="thin">
        <color theme="0"/>
      </right>
      <top style="thin">
        <color indexed="64"/>
      </top>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bottom style="thin">
        <color theme="0"/>
      </bottom>
      <diagonal/>
    </border>
    <border>
      <left style="thin">
        <color theme="0"/>
      </left>
      <right style="thin">
        <color indexed="64"/>
      </right>
      <top/>
      <bottom style="thin">
        <color theme="0"/>
      </bottom>
      <diagonal/>
    </border>
    <border>
      <left style="thin">
        <color theme="0"/>
      </left>
      <right style="thin">
        <color theme="0"/>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thin">
        <color theme="0"/>
      </left>
      <right style="medium">
        <color indexed="64"/>
      </right>
      <top style="medium">
        <color indexed="64"/>
      </top>
      <bottom style="medium">
        <color indexed="64"/>
      </bottom>
      <diagonal/>
    </border>
  </borders>
  <cellStyleXfs count="60">
    <xf numFmtId="0" fontId="0" fillId="0" borderId="0"/>
    <xf numFmtId="43" fontId="2" fillId="0" borderId="0" applyFont="0" applyFill="0" applyBorder="0" applyAlignment="0" applyProtection="0"/>
    <xf numFmtId="40" fontId="3" fillId="0" borderId="0" applyFont="0" applyFill="0" applyBorder="0" applyAlignment="0" applyProtection="0"/>
    <xf numFmtId="43" fontId="2" fillId="0" borderId="0" applyFont="0" applyFill="0" applyBorder="0" applyAlignment="0" applyProtection="0"/>
    <xf numFmtId="40" fontId="3" fillId="0" borderId="0" applyFont="0" applyFill="0" applyBorder="0" applyAlignment="0" applyProtection="0"/>
    <xf numFmtId="43" fontId="5"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8" fontId="6" fillId="0" borderId="0"/>
    <xf numFmtId="169" fontId="6" fillId="0" borderId="0"/>
    <xf numFmtId="0" fontId="4" fillId="0" borderId="0" applyFill="0" applyBorder="0" applyProtection="0">
      <alignment horizontal="center" vertical="center"/>
      <protection locked="0"/>
    </xf>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0" fontId="3"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3" fillId="0" borderId="0"/>
    <xf numFmtId="0" fontId="5" fillId="0" borderId="0"/>
    <xf numFmtId="0" fontId="2" fillId="0" borderId="0"/>
    <xf numFmtId="0" fontId="3" fillId="0" borderId="0"/>
    <xf numFmtId="0" fontId="2" fillId="0" borderId="0"/>
    <xf numFmtId="170" fontId="2" fillId="0" borderId="0"/>
    <xf numFmtId="0" fontId="3" fillId="0" borderId="0"/>
    <xf numFmtId="0" fontId="2" fillId="0" borderId="0"/>
    <xf numFmtId="0" fontId="2" fillId="0" borderId="0"/>
    <xf numFmtId="0" fontId="5" fillId="0" borderId="0"/>
    <xf numFmtId="0" fontId="5" fillId="0" borderId="0"/>
    <xf numFmtId="0" fontId="3" fillId="0" borderId="0"/>
    <xf numFmtId="0" fontId="3" fillId="0" borderId="0"/>
    <xf numFmtId="0" fontId="3" fillId="0" borderId="0"/>
    <xf numFmtId="0" fontId="5" fillId="0" borderId="0"/>
    <xf numFmtId="9" fontId="3"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72" fontId="5" fillId="0" borderId="0" applyFont="0" applyFill="0" applyBorder="0" applyAlignment="0" applyProtection="0"/>
    <xf numFmtId="0" fontId="2" fillId="0" borderId="0"/>
  </cellStyleXfs>
  <cellXfs count="158">
    <xf numFmtId="0" fontId="0" fillId="0" borderId="0" xfId="0"/>
    <xf numFmtId="0" fontId="0" fillId="0" borderId="0" xfId="0" applyAlignment="1">
      <alignment vertical="center"/>
    </xf>
    <xf numFmtId="0" fontId="0" fillId="2" borderId="0" xfId="0" applyFill="1"/>
    <xf numFmtId="0" fontId="0" fillId="0" borderId="2" xfId="0" applyBorder="1"/>
    <xf numFmtId="0" fontId="0" fillId="0" borderId="3" xfId="0" applyBorder="1"/>
    <xf numFmtId="0" fontId="10" fillId="0" borderId="0" xfId="0" applyFont="1"/>
    <xf numFmtId="0" fontId="12" fillId="3" borderId="15" xfId="0" applyFont="1" applyFill="1" applyBorder="1" applyAlignment="1">
      <alignment horizontal="center" vertical="center"/>
    </xf>
    <xf numFmtId="0" fontId="12" fillId="3" borderId="16" xfId="0" applyFont="1" applyFill="1" applyBorder="1" applyAlignment="1">
      <alignment horizontal="center" vertical="center"/>
    </xf>
    <xf numFmtId="43" fontId="12" fillId="3" borderId="16" xfId="27" applyFont="1" applyFill="1" applyBorder="1" applyAlignment="1">
      <alignment horizontal="center" vertical="center"/>
    </xf>
    <xf numFmtId="43" fontId="12" fillId="3" borderId="17" xfId="27" applyFont="1" applyFill="1" applyBorder="1" applyAlignment="1">
      <alignment horizontal="center" vertical="center"/>
    </xf>
    <xf numFmtId="37" fontId="12" fillId="3" borderId="2" xfId="27" applyNumberFormat="1" applyFont="1" applyFill="1" applyBorder="1" applyAlignment="1">
      <alignment horizontal="center" vertical="center"/>
    </xf>
    <xf numFmtId="0" fontId="12" fillId="3" borderId="0" xfId="0" applyFont="1" applyFill="1" applyAlignment="1">
      <alignment horizontal="left" vertical="center"/>
    </xf>
    <xf numFmtId="43" fontId="13" fillId="3" borderId="0" xfId="27" applyFont="1" applyFill="1" applyBorder="1" applyAlignment="1">
      <alignment vertical="center"/>
    </xf>
    <xf numFmtId="0" fontId="13" fillId="3" borderId="0" xfId="0" applyFont="1" applyFill="1" applyAlignment="1">
      <alignment horizontal="center" vertical="center"/>
    </xf>
    <xf numFmtId="39" fontId="12" fillId="3" borderId="3" xfId="27" applyNumberFormat="1" applyFont="1" applyFill="1" applyBorder="1" applyAlignment="1">
      <alignment horizontal="right" vertical="center"/>
    </xf>
    <xf numFmtId="167" fontId="14" fillId="0" borderId="1" xfId="27" applyNumberFormat="1" applyFont="1" applyFill="1" applyBorder="1" applyAlignment="1">
      <alignment horizontal="center" vertical="center"/>
    </xf>
    <xf numFmtId="0" fontId="14" fillId="0" borderId="1" xfId="0" applyFont="1" applyBorder="1" applyAlignment="1">
      <alignment vertical="center" wrapText="1"/>
    </xf>
    <xf numFmtId="39" fontId="14" fillId="0" borderId="1" xfId="27" applyNumberFormat="1" applyFont="1" applyFill="1" applyBorder="1" applyAlignment="1">
      <alignment horizontal="center" vertical="center"/>
    </xf>
    <xf numFmtId="0" fontId="14" fillId="0" borderId="1" xfId="0" applyFont="1" applyBorder="1" applyAlignment="1">
      <alignment horizontal="center" vertical="center"/>
    </xf>
    <xf numFmtId="43" fontId="14" fillId="0" borderId="1" xfId="27" applyFont="1" applyFill="1" applyBorder="1" applyAlignment="1">
      <alignment vertical="center"/>
    </xf>
    <xf numFmtId="39" fontId="14" fillId="0" borderId="1" xfId="27" applyNumberFormat="1" applyFont="1" applyFill="1" applyBorder="1" applyAlignment="1">
      <alignment vertical="center"/>
    </xf>
    <xf numFmtId="37" fontId="15" fillId="3" borderId="18" xfId="27" applyNumberFormat="1" applyFont="1" applyFill="1" applyBorder="1" applyAlignment="1">
      <alignment horizontal="center" vertical="center"/>
    </xf>
    <xf numFmtId="0" fontId="15" fillId="3" borderId="13" xfId="0" applyFont="1" applyFill="1" applyBorder="1" applyAlignment="1">
      <alignment vertical="center"/>
    </xf>
    <xf numFmtId="43" fontId="14" fillId="3" borderId="13" xfId="27" applyFont="1" applyFill="1" applyBorder="1" applyAlignment="1">
      <alignment horizontal="center" vertical="center"/>
    </xf>
    <xf numFmtId="0" fontId="14" fillId="3" borderId="13" xfId="0" applyFont="1" applyFill="1" applyBorder="1" applyAlignment="1">
      <alignment horizontal="center" vertical="center"/>
    </xf>
    <xf numFmtId="43" fontId="14" fillId="3" borderId="13" xfId="27" applyFont="1" applyFill="1" applyBorder="1" applyAlignment="1">
      <alignment vertical="center"/>
    </xf>
    <xf numFmtId="39" fontId="15" fillId="3" borderId="19" xfId="27" applyNumberFormat="1" applyFont="1" applyFill="1" applyBorder="1" applyAlignment="1">
      <alignment horizontal="right" vertical="center"/>
    </xf>
    <xf numFmtId="43" fontId="14" fillId="0" borderId="1" xfId="27" applyFont="1" applyFill="1" applyBorder="1" applyAlignment="1">
      <alignment horizontal="center" vertical="center"/>
    </xf>
    <xf numFmtId="39" fontId="14" fillId="2" borderId="1" xfId="27" applyNumberFormat="1" applyFont="1" applyFill="1" applyBorder="1" applyAlignment="1">
      <alignment vertical="center"/>
    </xf>
    <xf numFmtId="167" fontId="14" fillId="0" borderId="9" xfId="27" applyNumberFormat="1" applyFont="1" applyFill="1" applyBorder="1" applyAlignment="1">
      <alignment horizontal="center" vertical="center"/>
    </xf>
    <xf numFmtId="0" fontId="14" fillId="0" borderId="5" xfId="0" applyFont="1" applyBorder="1" applyAlignment="1">
      <alignment vertical="center" wrapText="1"/>
    </xf>
    <xf numFmtId="0" fontId="14" fillId="0" borderId="1" xfId="0" applyFont="1" applyBorder="1" applyAlignment="1">
      <alignment vertical="center"/>
    </xf>
    <xf numFmtId="0" fontId="16" fillId="0" borderId="1" xfId="0" applyFont="1" applyBorder="1" applyAlignment="1">
      <alignment horizontal="center" vertical="center"/>
    </xf>
    <xf numFmtId="43" fontId="16" fillId="0" borderId="1" xfId="27" applyFont="1" applyBorder="1" applyAlignment="1">
      <alignment horizontal="center" vertical="center"/>
    </xf>
    <xf numFmtId="0" fontId="14" fillId="2" borderId="1" xfId="0" applyFont="1" applyFill="1" applyBorder="1" applyAlignment="1">
      <alignment horizontal="center" vertical="center" wrapText="1"/>
    </xf>
    <xf numFmtId="43" fontId="14" fillId="0" borderId="1" xfId="28" applyFont="1" applyFill="1" applyBorder="1" applyAlignment="1">
      <alignment horizontal="center" vertical="center"/>
    </xf>
    <xf numFmtId="43" fontId="14" fillId="0" borderId="1" xfId="27" applyFont="1" applyBorder="1" applyAlignment="1">
      <alignment horizontal="center" vertical="center" wrapText="1"/>
    </xf>
    <xf numFmtId="0" fontId="14" fillId="0" borderId="1" xfId="0" applyFont="1" applyBorder="1" applyAlignment="1">
      <alignment horizontal="center" vertical="center" wrapText="1"/>
    </xf>
    <xf numFmtId="0" fontId="14" fillId="2" borderId="1" xfId="0" applyFont="1" applyFill="1" applyBorder="1" applyAlignment="1">
      <alignment vertical="center" wrapText="1"/>
    </xf>
    <xf numFmtId="43" fontId="14" fillId="2" borderId="1" xfId="27" applyFont="1" applyFill="1" applyBorder="1" applyAlignment="1">
      <alignment horizontal="center" vertical="center"/>
    </xf>
    <xf numFmtId="0" fontId="14" fillId="2" borderId="1" xfId="0" applyFont="1" applyFill="1" applyBorder="1" applyAlignment="1">
      <alignment horizontal="center" vertical="center"/>
    </xf>
    <xf numFmtId="0" fontId="14" fillId="0" borderId="1" xfId="0" applyFont="1" applyBorder="1" applyAlignment="1">
      <alignment wrapText="1"/>
    </xf>
    <xf numFmtId="43" fontId="14" fillId="0" borderId="1" xfId="27" applyFont="1" applyBorder="1" applyAlignment="1">
      <alignment horizontal="center" vertical="center"/>
    </xf>
    <xf numFmtId="43" fontId="14" fillId="2" borderId="1" xfId="27" applyFont="1" applyFill="1" applyBorder="1" applyAlignment="1">
      <alignment horizontal="center" vertical="center" wrapText="1"/>
    </xf>
    <xf numFmtId="167" fontId="14" fillId="2" borderId="9" xfId="27" quotePrefix="1" applyNumberFormat="1" applyFont="1" applyFill="1" applyBorder="1" applyAlignment="1">
      <alignment horizontal="center" vertical="center"/>
    </xf>
    <xf numFmtId="167" fontId="14" fillId="0" borderId="1" xfId="27" applyNumberFormat="1" applyFont="1" applyBorder="1" applyAlignment="1">
      <alignment horizontal="center" vertical="center"/>
    </xf>
    <xf numFmtId="0" fontId="16" fillId="0" borderId="1" xfId="0" applyFont="1" applyBorder="1" applyAlignment="1">
      <alignment horizontal="left" vertical="top" wrapText="1"/>
    </xf>
    <xf numFmtId="2" fontId="14" fillId="0" borderId="1" xfId="27" applyNumberFormat="1" applyFont="1" applyBorder="1" applyAlignment="1">
      <alignment horizontal="center" vertical="center"/>
    </xf>
    <xf numFmtId="167" fontId="14" fillId="0" borderId="2" xfId="27" applyNumberFormat="1" applyFont="1" applyFill="1" applyBorder="1" applyAlignment="1">
      <alignment horizontal="center" vertical="center"/>
    </xf>
    <xf numFmtId="0" fontId="14" fillId="0" borderId="0" xfId="0" applyFont="1" applyAlignment="1">
      <alignment vertical="center" wrapText="1"/>
    </xf>
    <xf numFmtId="39" fontId="14" fillId="0" borderId="0" xfId="27" applyNumberFormat="1" applyFont="1" applyFill="1" applyBorder="1" applyAlignment="1">
      <alignment horizontal="center" vertical="center"/>
    </xf>
    <xf numFmtId="0" fontId="14" fillId="0" borderId="0" xfId="0" applyFont="1" applyAlignment="1">
      <alignment horizontal="center" vertical="center"/>
    </xf>
    <xf numFmtId="43" fontId="14" fillId="0" borderId="0" xfId="27" applyFont="1" applyFill="1" applyBorder="1" applyAlignment="1">
      <alignment vertical="center"/>
    </xf>
    <xf numFmtId="39" fontId="14" fillId="0" borderId="3" xfId="27" applyNumberFormat="1" applyFont="1" applyFill="1" applyBorder="1" applyAlignment="1">
      <alignment vertical="center"/>
    </xf>
    <xf numFmtId="167" fontId="14" fillId="2" borderId="1" xfId="27" quotePrefix="1" applyNumberFormat="1" applyFont="1" applyFill="1" applyBorder="1" applyAlignment="1">
      <alignment horizontal="center" vertical="center"/>
    </xf>
    <xf numFmtId="0" fontId="14" fillId="2" borderId="11" xfId="0" applyFont="1" applyFill="1" applyBorder="1" applyAlignment="1">
      <alignment vertical="center" wrapText="1"/>
    </xf>
    <xf numFmtId="43" fontId="14" fillId="2" borderId="11" xfId="27" applyFont="1" applyFill="1" applyBorder="1" applyAlignment="1">
      <alignment horizontal="center" vertical="center"/>
    </xf>
    <xf numFmtId="39" fontId="14" fillId="2" borderId="1" xfId="27" applyNumberFormat="1" applyFont="1" applyFill="1" applyBorder="1" applyAlignment="1">
      <alignment vertical="center" wrapText="1"/>
    </xf>
    <xf numFmtId="39" fontId="14" fillId="2" borderId="2" xfId="27" applyNumberFormat="1" applyFont="1" applyFill="1" applyBorder="1" applyAlignment="1">
      <alignment vertical="center"/>
    </xf>
    <xf numFmtId="39" fontId="14" fillId="2" borderId="0" xfId="27" applyNumberFormat="1" applyFont="1" applyFill="1" applyBorder="1" applyAlignment="1">
      <alignment vertical="center"/>
    </xf>
    <xf numFmtId="39" fontId="14" fillId="2" borderId="3" xfId="27" applyNumberFormat="1" applyFont="1" applyFill="1" applyBorder="1" applyAlignment="1">
      <alignment vertical="center"/>
    </xf>
    <xf numFmtId="0" fontId="14" fillId="0" borderId="1" xfId="0" applyFont="1" applyBorder="1" applyAlignment="1">
      <alignment horizontal="left" vertical="center" wrapText="1"/>
    </xf>
    <xf numFmtId="2" fontId="14" fillId="0" borderId="1" xfId="27" applyNumberFormat="1" applyFont="1" applyFill="1" applyBorder="1" applyAlignment="1">
      <alignment horizontal="center" vertical="center"/>
    </xf>
    <xf numFmtId="43" fontId="14" fillId="2" borderId="1" xfId="27" applyFont="1" applyFill="1" applyBorder="1" applyAlignment="1">
      <alignment horizontal="center"/>
    </xf>
    <xf numFmtId="0" fontId="14" fillId="2" borderId="1" xfId="0" applyFont="1" applyFill="1" applyBorder="1" applyAlignment="1">
      <alignment horizontal="left" vertical="center" wrapText="1"/>
    </xf>
    <xf numFmtId="2" fontId="14" fillId="2" borderId="1" xfId="27" applyNumberFormat="1" applyFont="1" applyFill="1" applyBorder="1" applyAlignment="1">
      <alignment horizontal="center" vertical="center"/>
    </xf>
    <xf numFmtId="2" fontId="14" fillId="0" borderId="1" xfId="0" applyNumberFormat="1" applyFont="1" applyBorder="1" applyAlignment="1">
      <alignment horizontal="center" vertical="center"/>
    </xf>
    <xf numFmtId="39" fontId="14" fillId="0" borderId="2" xfId="27" applyNumberFormat="1" applyFont="1" applyFill="1" applyBorder="1" applyAlignment="1">
      <alignment horizontal="center" vertical="center"/>
    </xf>
    <xf numFmtId="0" fontId="14" fillId="0" borderId="0" xfId="0" applyFont="1" applyAlignment="1">
      <alignment horizontal="left" vertical="center" wrapText="1"/>
    </xf>
    <xf numFmtId="2" fontId="14" fillId="0" borderId="0" xfId="27" applyNumberFormat="1" applyFont="1" applyBorder="1" applyAlignment="1">
      <alignment horizontal="center" vertical="center"/>
    </xf>
    <xf numFmtId="2" fontId="14" fillId="0" borderId="0" xfId="0" applyNumberFormat="1" applyFont="1" applyAlignment="1">
      <alignment horizontal="center" vertical="center"/>
    </xf>
    <xf numFmtId="37" fontId="17" fillId="2" borderId="2" xfId="27" applyNumberFormat="1" applyFont="1" applyFill="1" applyBorder="1" applyAlignment="1">
      <alignment horizontal="center" vertical="center"/>
    </xf>
    <xf numFmtId="0" fontId="17" fillId="2" borderId="0" xfId="0" applyFont="1" applyFill="1" applyAlignment="1">
      <alignment vertical="center"/>
    </xf>
    <xf numFmtId="43" fontId="18" fillId="2" borderId="0" xfId="27" applyFont="1" applyFill="1" applyBorder="1" applyAlignment="1">
      <alignment vertical="center"/>
    </xf>
    <xf numFmtId="0" fontId="18" fillId="2" borderId="0" xfId="0" applyFont="1" applyFill="1" applyAlignment="1">
      <alignment horizontal="center" vertical="center"/>
    </xf>
    <xf numFmtId="39" fontId="17" fillId="2" borderId="3" xfId="27" applyNumberFormat="1" applyFont="1" applyFill="1" applyBorder="1" applyAlignment="1">
      <alignment horizontal="right" vertical="center"/>
    </xf>
    <xf numFmtId="39" fontId="14" fillId="2" borderId="2" xfId="27" quotePrefix="1" applyNumberFormat="1" applyFont="1" applyFill="1" applyBorder="1" applyAlignment="1">
      <alignment horizontal="center" vertical="center"/>
    </xf>
    <xf numFmtId="0" fontId="14" fillId="2" borderId="0" xfId="0" applyFont="1" applyFill="1" applyAlignment="1">
      <alignment vertical="center"/>
    </xf>
    <xf numFmtId="39" fontId="14" fillId="2" borderId="0" xfId="27" applyNumberFormat="1" applyFont="1" applyFill="1" applyBorder="1" applyAlignment="1">
      <alignment horizontal="center" vertical="center"/>
    </xf>
    <xf numFmtId="0" fontId="14" fillId="2" borderId="0" xfId="0" applyFont="1" applyFill="1" applyAlignment="1">
      <alignment horizontal="center" vertical="center"/>
    </xf>
    <xf numFmtId="43" fontId="14" fillId="2" borderId="0" xfId="27" applyFont="1" applyFill="1" applyBorder="1" applyAlignment="1">
      <alignment vertical="center"/>
    </xf>
    <xf numFmtId="0" fontId="16" fillId="0" borderId="3" xfId="0" applyFont="1" applyBorder="1"/>
    <xf numFmtId="39" fontId="14" fillId="2" borderId="2" xfId="27" applyNumberFormat="1" applyFont="1" applyFill="1" applyBorder="1" applyAlignment="1">
      <alignment horizontal="center" vertical="center"/>
    </xf>
    <xf numFmtId="10" fontId="15" fillId="0" borderId="4" xfId="56" applyNumberFormat="1" applyFont="1" applyFill="1" applyBorder="1" applyAlignment="1">
      <alignment horizontal="center" vertical="center"/>
    </xf>
    <xf numFmtId="0" fontId="16" fillId="0" borderId="3" xfId="0" applyFont="1" applyBorder="1" applyAlignment="1">
      <alignment vertical="center"/>
    </xf>
    <xf numFmtId="0" fontId="15" fillId="0" borderId="1" xfId="0" applyFont="1" applyBorder="1" applyAlignment="1">
      <alignment horizontal="right" vertical="center" wrapText="1"/>
    </xf>
    <xf numFmtId="43" fontId="15" fillId="0" borderId="1" xfId="27" applyFont="1" applyFill="1" applyBorder="1" applyAlignment="1">
      <alignment horizontal="center" vertical="center"/>
    </xf>
    <xf numFmtId="171" fontId="16" fillId="0" borderId="3" xfId="0" applyNumberFormat="1" applyFont="1" applyBorder="1"/>
    <xf numFmtId="0" fontId="14" fillId="0" borderId="10" xfId="0" applyFont="1" applyBorder="1" applyAlignment="1">
      <alignment vertical="center" wrapText="1"/>
    </xf>
    <xf numFmtId="9" fontId="15" fillId="0" borderId="5" xfId="56" applyFont="1" applyFill="1" applyBorder="1" applyAlignment="1">
      <alignment horizontal="center" vertical="center"/>
    </xf>
    <xf numFmtId="0" fontId="14" fillId="0" borderId="5" xfId="0" applyFont="1" applyBorder="1" applyAlignment="1">
      <alignment horizontal="center" vertical="center"/>
    </xf>
    <xf numFmtId="43" fontId="14" fillId="0" borderId="3" xfId="27" applyFont="1" applyFill="1" applyBorder="1" applyAlignment="1">
      <alignment vertical="center"/>
    </xf>
    <xf numFmtId="0" fontId="16" fillId="0" borderId="2" xfId="0" applyFont="1" applyBorder="1"/>
    <xf numFmtId="0" fontId="16" fillId="0" borderId="0" xfId="0" applyFont="1"/>
    <xf numFmtId="0" fontId="11" fillId="0" borderId="2" xfId="0" applyFont="1" applyBorder="1"/>
    <xf numFmtId="0" fontId="16" fillId="0" borderId="6" xfId="0" applyFont="1" applyBorder="1"/>
    <xf numFmtId="0" fontId="16" fillId="0" borderId="7" xfId="0" applyFont="1" applyBorder="1"/>
    <xf numFmtId="0" fontId="16" fillId="0" borderId="8" xfId="0" applyFont="1" applyBorder="1"/>
    <xf numFmtId="0" fontId="12" fillId="3" borderId="1" xfId="0" applyFont="1" applyFill="1" applyBorder="1" applyAlignment="1">
      <alignment horizontal="center" vertical="center"/>
    </xf>
    <xf numFmtId="43" fontId="13" fillId="3" borderId="14" xfId="27" applyFont="1" applyFill="1" applyBorder="1" applyAlignment="1">
      <alignment vertical="center"/>
    </xf>
    <xf numFmtId="0" fontId="13" fillId="3" borderId="20" xfId="0" applyFont="1" applyFill="1" applyBorder="1" applyAlignment="1">
      <alignment vertical="center"/>
    </xf>
    <xf numFmtId="39" fontId="12" fillId="3" borderId="17" xfId="27" applyNumberFormat="1" applyFont="1" applyFill="1" applyBorder="1" applyAlignment="1">
      <alignment vertical="center"/>
    </xf>
    <xf numFmtId="43" fontId="12" fillId="3" borderId="1" xfId="27" applyFont="1" applyFill="1" applyBorder="1" applyAlignment="1">
      <alignment vertical="center"/>
    </xf>
    <xf numFmtId="39" fontId="15" fillId="3" borderId="18" xfId="27" applyNumberFormat="1" applyFont="1" applyFill="1" applyBorder="1" applyAlignment="1">
      <alignment horizontal="center" vertical="center"/>
    </xf>
    <xf numFmtId="167" fontId="14" fillId="0" borderId="10" xfId="27" applyNumberFormat="1" applyFont="1" applyFill="1" applyBorder="1" applyAlignment="1">
      <alignment horizontal="center" vertical="center"/>
    </xf>
    <xf numFmtId="0" fontId="14" fillId="0" borderId="21" xfId="0" applyFont="1" applyBorder="1" applyAlignment="1">
      <alignment vertical="center" wrapText="1"/>
    </xf>
    <xf numFmtId="39" fontId="14" fillId="0" borderId="21" xfId="27" applyNumberFormat="1" applyFont="1" applyFill="1" applyBorder="1" applyAlignment="1">
      <alignment horizontal="center" vertical="center"/>
    </xf>
    <xf numFmtId="0" fontId="14" fillId="0" borderId="21" xfId="0" applyFont="1" applyBorder="1" applyAlignment="1">
      <alignment horizontal="center" vertical="center"/>
    </xf>
    <xf numFmtId="43" fontId="14" fillId="0" borderId="21" xfId="27" applyFont="1" applyFill="1" applyBorder="1" applyAlignment="1">
      <alignment vertical="center"/>
    </xf>
    <xf numFmtId="39" fontId="14" fillId="0" borderId="21" xfId="27" applyNumberFormat="1" applyFont="1" applyFill="1" applyBorder="1" applyAlignment="1">
      <alignment vertical="center"/>
    </xf>
    <xf numFmtId="39" fontId="12" fillId="4" borderId="26" xfId="27" applyNumberFormat="1" applyFont="1" applyFill="1" applyBorder="1" applyAlignment="1">
      <alignment horizontal="right" vertical="center"/>
    </xf>
    <xf numFmtId="167" fontId="14" fillId="2" borderId="10" xfId="27" quotePrefix="1" applyNumberFormat="1" applyFont="1" applyFill="1" applyBorder="1" applyAlignment="1">
      <alignment horizontal="center" vertical="center"/>
    </xf>
    <xf numFmtId="0" fontId="14" fillId="2" borderId="21" xfId="0" applyFont="1" applyFill="1" applyBorder="1" applyAlignment="1">
      <alignment vertical="center" wrapText="1"/>
    </xf>
    <xf numFmtId="43" fontId="14" fillId="2" borderId="21" xfId="27" applyFont="1" applyFill="1" applyBorder="1" applyAlignment="1">
      <alignment horizontal="center" vertical="center"/>
    </xf>
    <xf numFmtId="0" fontId="21" fillId="0" borderId="0" xfId="0" applyFont="1" applyAlignment="1">
      <alignment horizontal="center" vertical="center"/>
    </xf>
    <xf numFmtId="43" fontId="0" fillId="0" borderId="0" xfId="0" applyNumberFormat="1"/>
    <xf numFmtId="43" fontId="0" fillId="0" borderId="0" xfId="27" applyFont="1" applyAlignment="1">
      <alignment vertical="center"/>
    </xf>
    <xf numFmtId="43" fontId="0" fillId="0" borderId="0" xfId="27" applyFont="1"/>
    <xf numFmtId="173" fontId="0" fillId="0" borderId="0" xfId="56" applyNumberFormat="1" applyFont="1"/>
    <xf numFmtId="43" fontId="16" fillId="0" borderId="3" xfId="0" applyNumberFormat="1" applyFont="1" applyBorder="1"/>
    <xf numFmtId="39" fontId="0" fillId="0" borderId="0" xfId="0" applyNumberFormat="1"/>
    <xf numFmtId="39" fontId="0" fillId="2" borderId="0" xfId="0" applyNumberFormat="1" applyFill="1"/>
    <xf numFmtId="0" fontId="0" fillId="6" borderId="0" xfId="0" applyFill="1"/>
    <xf numFmtId="0" fontId="19" fillId="0" borderId="9" xfId="0" applyFont="1" applyBorder="1" applyAlignment="1">
      <alignment horizontal="left" vertical="center" wrapText="1"/>
    </xf>
    <xf numFmtId="0" fontId="19" fillId="0" borderId="11" xfId="0" applyFont="1" applyBorder="1" applyAlignment="1">
      <alignment horizontal="left" vertical="center" wrapText="1"/>
    </xf>
    <xf numFmtId="0" fontId="19" fillId="0" borderId="4" xfId="0" applyFont="1" applyBorder="1" applyAlignment="1">
      <alignment horizontal="left" vertical="center" wrapText="1"/>
    </xf>
    <xf numFmtId="0" fontId="12" fillId="3" borderId="9" xfId="0" applyFont="1" applyFill="1" applyBorder="1" applyAlignment="1">
      <alignment horizontal="center" vertical="center"/>
    </xf>
    <xf numFmtId="0" fontId="12" fillId="3" borderId="11" xfId="0" applyFont="1" applyFill="1" applyBorder="1" applyAlignment="1">
      <alignment horizontal="center" vertical="center"/>
    </xf>
    <xf numFmtId="0" fontId="12" fillId="3" borderId="4" xfId="0" applyFont="1" applyFill="1" applyBorder="1" applyAlignment="1">
      <alignment horizontal="center" vertical="center"/>
    </xf>
    <xf numFmtId="0" fontId="8" fillId="0" borderId="10" xfId="0" applyFont="1" applyBorder="1" applyAlignment="1">
      <alignment horizontal="center" vertical="center"/>
    </xf>
    <xf numFmtId="0" fontId="8" fillId="0" borderId="5" xfId="0" applyFont="1" applyBorder="1" applyAlignment="1">
      <alignment horizontal="center" vertical="center"/>
    </xf>
    <xf numFmtId="0" fontId="8" fillId="0" borderId="12" xfId="0" applyFont="1" applyBorder="1" applyAlignment="1">
      <alignment horizontal="center" vertical="center"/>
    </xf>
    <xf numFmtId="0" fontId="9" fillId="0" borderId="2" xfId="0" applyFont="1" applyBorder="1" applyAlignment="1">
      <alignment horizontal="center" vertical="center"/>
    </xf>
    <xf numFmtId="0" fontId="9" fillId="0" borderId="0" xfId="0" applyFont="1" applyAlignment="1">
      <alignment horizontal="center" vertical="center"/>
    </xf>
    <xf numFmtId="0" fontId="9" fillId="0" borderId="3" xfId="0" applyFont="1" applyBorder="1" applyAlignment="1">
      <alignment horizontal="center" vertical="center"/>
    </xf>
    <xf numFmtId="0" fontId="9" fillId="0" borderId="2" xfId="0" applyFont="1" applyBorder="1" applyAlignment="1">
      <alignment horizontal="center"/>
    </xf>
    <xf numFmtId="0" fontId="9" fillId="0" borderId="0" xfId="0" applyFont="1" applyAlignment="1">
      <alignment horizontal="center"/>
    </xf>
    <xf numFmtId="0" fontId="9" fillId="0" borderId="3" xfId="0" applyFont="1" applyBorder="1" applyAlignment="1">
      <alignment horizontal="center"/>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0" fillId="5" borderId="9" xfId="0" applyFont="1" applyFill="1" applyBorder="1" applyAlignment="1">
      <alignment horizontal="center" vertical="center"/>
    </xf>
    <xf numFmtId="0" fontId="20" fillId="5" borderId="11" xfId="0" applyFont="1" applyFill="1" applyBorder="1" applyAlignment="1">
      <alignment horizontal="center" vertical="center"/>
    </xf>
    <xf numFmtId="0" fontId="20" fillId="5"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2" fillId="4" borderId="22" xfId="0" applyFont="1" applyFill="1" applyBorder="1" applyAlignment="1">
      <alignment horizontal="center" vertical="center"/>
    </xf>
    <xf numFmtId="0" fontId="12" fillId="4" borderId="23" xfId="0" applyFont="1" applyFill="1" applyBorder="1" applyAlignment="1">
      <alignment horizontal="center" vertical="center"/>
    </xf>
    <xf numFmtId="0" fontId="12" fillId="4" borderId="24" xfId="0" applyFont="1" applyFill="1" applyBorder="1" applyAlignment="1">
      <alignment horizontal="center" vertical="center"/>
    </xf>
    <xf numFmtId="0" fontId="13" fillId="4" borderId="25" xfId="0" applyFont="1" applyFill="1" applyBorder="1" applyAlignment="1">
      <alignment horizontal="center" vertical="center"/>
    </xf>
    <xf numFmtId="0" fontId="13" fillId="4" borderId="24" xfId="0" applyFont="1" applyFill="1" applyBorder="1" applyAlignment="1">
      <alignment horizontal="center" vertical="center"/>
    </xf>
  </cellXfs>
  <cellStyles count="60">
    <cellStyle name="Comma" xfId="27" builtinId="3"/>
    <cellStyle name="Comma 10" xfId="1" xr:uid="{00000000-0005-0000-0000-000001000000}"/>
    <cellStyle name="Comma 2" xfId="2" xr:uid="{00000000-0005-0000-0000-000002000000}"/>
    <cellStyle name="Comma 2 2" xfId="3" xr:uid="{00000000-0005-0000-0000-000003000000}"/>
    <cellStyle name="Comma 3" xfId="4" xr:uid="{00000000-0005-0000-0000-000004000000}"/>
    <cellStyle name="Comma 4" xfId="58" xr:uid="{9DB25FAA-A799-4DF9-8AB0-FFD92A3B6190}"/>
    <cellStyle name="Comma 8" xfId="5" xr:uid="{00000000-0005-0000-0000-000005000000}"/>
    <cellStyle name="Currency [0] 2" xfId="6" xr:uid="{00000000-0005-0000-0000-000006000000}"/>
    <cellStyle name="Currency [0] 3" xfId="7" xr:uid="{00000000-0005-0000-0000-000007000000}"/>
    <cellStyle name="Currency 10" xfId="8" xr:uid="{00000000-0005-0000-0000-000008000000}"/>
    <cellStyle name="Currency 11" xfId="9" xr:uid="{00000000-0005-0000-0000-000009000000}"/>
    <cellStyle name="Currency 12" xfId="10" xr:uid="{00000000-0005-0000-0000-00000A000000}"/>
    <cellStyle name="Currency 13" xfId="11" xr:uid="{00000000-0005-0000-0000-00000B000000}"/>
    <cellStyle name="Currency 14" xfId="12" xr:uid="{00000000-0005-0000-0000-00000C000000}"/>
    <cellStyle name="Currency 15" xfId="13" xr:uid="{00000000-0005-0000-0000-00000D000000}"/>
    <cellStyle name="Currency 16" xfId="14" xr:uid="{00000000-0005-0000-0000-00000E000000}"/>
    <cellStyle name="Currency 2" xfId="15" xr:uid="{00000000-0005-0000-0000-00000F000000}"/>
    <cellStyle name="Currency 2 2" xfId="16" xr:uid="{00000000-0005-0000-0000-000010000000}"/>
    <cellStyle name="Currency 3" xfId="17" xr:uid="{00000000-0005-0000-0000-000011000000}"/>
    <cellStyle name="Currency 4" xfId="18" xr:uid="{00000000-0005-0000-0000-000012000000}"/>
    <cellStyle name="Currency 5" xfId="19" xr:uid="{00000000-0005-0000-0000-000013000000}"/>
    <cellStyle name="Currency 6" xfId="20" xr:uid="{00000000-0005-0000-0000-000014000000}"/>
    <cellStyle name="Currency 7" xfId="21" xr:uid="{00000000-0005-0000-0000-000015000000}"/>
    <cellStyle name="Currency 8" xfId="22" xr:uid="{00000000-0005-0000-0000-000016000000}"/>
    <cellStyle name="Currency 9" xfId="23" xr:uid="{00000000-0005-0000-0000-000017000000}"/>
    <cellStyle name="Excel Built-in Comma" xfId="24" xr:uid="{00000000-0005-0000-0000-000018000000}"/>
    <cellStyle name="Excel Built-in Normal" xfId="25" xr:uid="{00000000-0005-0000-0000-000019000000}"/>
    <cellStyle name="Hyperlink 2" xfId="26" xr:uid="{00000000-0005-0000-0000-00001A000000}"/>
    <cellStyle name="Millares 10" xfId="28" xr:uid="{00000000-0005-0000-0000-00001B000000}"/>
    <cellStyle name="Millares 12" xfId="29" xr:uid="{00000000-0005-0000-0000-00001C000000}"/>
    <cellStyle name="Millares 2" xfId="30" xr:uid="{00000000-0005-0000-0000-00001D000000}"/>
    <cellStyle name="Millares 2 2" xfId="31" xr:uid="{00000000-0005-0000-0000-00001E000000}"/>
    <cellStyle name="Millares 3" xfId="32" xr:uid="{00000000-0005-0000-0000-00001F000000}"/>
    <cellStyle name="Millares 5" xfId="33" xr:uid="{00000000-0005-0000-0000-000020000000}"/>
    <cellStyle name="Millares 7" xfId="34" xr:uid="{00000000-0005-0000-0000-000021000000}"/>
    <cellStyle name="Normal" xfId="0" builtinId="0"/>
    <cellStyle name="Normal 10" xfId="35" xr:uid="{00000000-0005-0000-0000-000023000000}"/>
    <cellStyle name="Normal 10 2 10" xfId="36" xr:uid="{00000000-0005-0000-0000-000024000000}"/>
    <cellStyle name="Normal 2" xfId="37" xr:uid="{00000000-0005-0000-0000-000025000000}"/>
    <cellStyle name="Normal 2 2" xfId="38" xr:uid="{00000000-0005-0000-0000-000026000000}"/>
    <cellStyle name="Normal 2 3 3" xfId="39" xr:uid="{00000000-0005-0000-0000-000027000000}"/>
    <cellStyle name="Normal 2 4" xfId="40" xr:uid="{00000000-0005-0000-0000-000028000000}"/>
    <cellStyle name="Normal 2 5" xfId="41" xr:uid="{00000000-0005-0000-0000-000029000000}"/>
    <cellStyle name="Normal 21" xfId="42" xr:uid="{00000000-0005-0000-0000-00002A000000}"/>
    <cellStyle name="Normal 3" xfId="43" xr:uid="{00000000-0005-0000-0000-00002B000000}"/>
    <cellStyle name="Normal 3 2" xfId="44" xr:uid="{00000000-0005-0000-0000-00002C000000}"/>
    <cellStyle name="Normal 3 3" xfId="45" xr:uid="{00000000-0005-0000-0000-00002D000000}"/>
    <cellStyle name="Normal 35" xfId="46" xr:uid="{00000000-0005-0000-0000-00002E000000}"/>
    <cellStyle name="Normal 37" xfId="47" xr:uid="{00000000-0005-0000-0000-00002F000000}"/>
    <cellStyle name="Normal 4" xfId="48" xr:uid="{00000000-0005-0000-0000-000030000000}"/>
    <cellStyle name="Normal 4 2" xfId="49" xr:uid="{00000000-0005-0000-0000-000031000000}"/>
    <cellStyle name="Normal 5" xfId="59" xr:uid="{0F69461F-C2FD-44B4-A799-91A355B9F6AF}"/>
    <cellStyle name="Normal 6 2" xfId="50" xr:uid="{00000000-0005-0000-0000-000032000000}"/>
    <cellStyle name="Normal 7" xfId="51" xr:uid="{00000000-0005-0000-0000-000033000000}"/>
    <cellStyle name="Percent" xfId="56" builtinId="5"/>
    <cellStyle name="Percent 2" xfId="52" xr:uid="{00000000-0005-0000-0000-000035000000}"/>
    <cellStyle name="Percent 2 2" xfId="53" xr:uid="{00000000-0005-0000-0000-000036000000}"/>
    <cellStyle name="Percent 3" xfId="54" xr:uid="{00000000-0005-0000-0000-000037000000}"/>
    <cellStyle name="Percent 4" xfId="55" xr:uid="{00000000-0005-0000-0000-000038000000}"/>
    <cellStyle name="Porcentual 2 2" xfId="57" xr:uid="{00000000-0005-0000-0000-00003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174625</xdr:colOff>
      <xdr:row>1</xdr:row>
      <xdr:rowOff>180975</xdr:rowOff>
    </xdr:from>
    <xdr:to>
      <xdr:col>2</xdr:col>
      <xdr:colOff>2095500</xdr:colOff>
      <xdr:row>8</xdr:row>
      <xdr:rowOff>53975</xdr:rowOff>
    </xdr:to>
    <xdr:pic>
      <xdr:nvPicPr>
        <xdr:cNvPr id="2" name="Imagen 1">
          <a:extLst>
            <a:ext uri="{FF2B5EF4-FFF2-40B4-BE49-F238E27FC236}">
              <a16:creationId xmlns:a16="http://schemas.microsoft.com/office/drawing/2014/main" id="{99B3D348-A3E5-434E-BD34-CF62080ACA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925" y="310515"/>
          <a:ext cx="2637155" cy="1336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27EA4-583F-4329-9030-A3E86B9A61A3}">
  <sheetPr>
    <tabColor rgb="FF00B050"/>
  </sheetPr>
  <dimension ref="B1:S1822"/>
  <sheetViews>
    <sheetView tabSelected="1" view="pageBreakPreview" topLeftCell="A1794" zoomScale="60" zoomScaleNormal="90" workbookViewId="0">
      <selection activeCell="F102" sqref="F102:F1795"/>
    </sheetView>
  </sheetViews>
  <sheetFormatPr defaultColWidth="8.6640625" defaultRowHeight="14.4" outlineLevelRow="4" x14ac:dyDescent="0.3"/>
  <cols>
    <col min="1" max="1" width="1.6640625" customWidth="1"/>
    <col min="2" max="2" width="10.44140625" customWidth="1"/>
    <col min="3" max="3" width="55.88671875" customWidth="1"/>
    <col min="4" max="4" width="13.44140625" customWidth="1"/>
    <col min="5" max="5" width="14.5546875" customWidth="1"/>
    <col min="6" max="6" width="27.44140625" customWidth="1"/>
    <col min="7" max="7" width="24.44140625" customWidth="1"/>
    <col min="8" max="8" width="17.6640625" bestFit="1" customWidth="1"/>
    <col min="9" max="9" width="14" bestFit="1" customWidth="1"/>
    <col min="10" max="10" width="15.109375" bestFit="1" customWidth="1"/>
    <col min="11" max="11" width="13.21875" bestFit="1" customWidth="1"/>
    <col min="12" max="12" width="10.109375" bestFit="1" customWidth="1"/>
    <col min="15" max="15" width="16.21875" bestFit="1" customWidth="1"/>
  </cols>
  <sheetData>
    <row r="1" spans="2:7" ht="10.199999999999999" customHeight="1" x14ac:dyDescent="0.3"/>
    <row r="2" spans="2:7" ht="22.2" x14ac:dyDescent="0.3">
      <c r="B2" s="129"/>
      <c r="C2" s="130"/>
      <c r="D2" s="130"/>
      <c r="E2" s="130"/>
      <c r="F2" s="130"/>
      <c r="G2" s="131"/>
    </row>
    <row r="3" spans="2:7" x14ac:dyDescent="0.3">
      <c r="B3" s="132"/>
      <c r="C3" s="133"/>
      <c r="D3" s="133"/>
      <c r="E3" s="133"/>
      <c r="F3" s="133"/>
      <c r="G3" s="134"/>
    </row>
    <row r="4" spans="2:7" x14ac:dyDescent="0.3">
      <c r="B4" s="132"/>
      <c r="C4" s="133"/>
      <c r="D4" s="133"/>
      <c r="E4" s="133"/>
      <c r="F4" s="133"/>
      <c r="G4" s="134"/>
    </row>
    <row r="5" spans="2:7" x14ac:dyDescent="0.3">
      <c r="B5" s="132"/>
      <c r="C5" s="133"/>
      <c r="D5" s="133"/>
      <c r="E5" s="133"/>
      <c r="F5" s="133"/>
      <c r="G5" s="134"/>
    </row>
    <row r="6" spans="2:7" x14ac:dyDescent="0.3">
      <c r="B6" s="135"/>
      <c r="C6" s="136"/>
      <c r="D6" s="136"/>
      <c r="E6" s="136"/>
      <c r="F6" s="136"/>
      <c r="G6" s="137"/>
    </row>
    <row r="7" spans="2:7" x14ac:dyDescent="0.3">
      <c r="B7" s="3"/>
      <c r="G7" s="4"/>
    </row>
    <row r="8" spans="2:7" ht="21" x14ac:dyDescent="0.3">
      <c r="B8" s="138"/>
      <c r="C8" s="139"/>
      <c r="D8" s="139"/>
      <c r="E8" s="139"/>
      <c r="F8" s="139"/>
      <c r="G8" s="140"/>
    </row>
    <row r="9" spans="2:7" ht="21" x14ac:dyDescent="0.3">
      <c r="B9" s="141"/>
      <c r="C9" s="142"/>
      <c r="D9" s="142"/>
      <c r="E9" s="142"/>
      <c r="F9" s="142"/>
      <c r="G9" s="143"/>
    </row>
    <row r="10" spans="2:7" ht="25.5" customHeight="1" x14ac:dyDescent="0.3">
      <c r="B10" s="144" t="s">
        <v>2280</v>
      </c>
      <c r="C10" s="145"/>
      <c r="D10" s="145"/>
      <c r="E10" s="145"/>
      <c r="F10" s="145"/>
      <c r="G10" s="146"/>
    </row>
    <row r="11" spans="2:7" x14ac:dyDescent="0.3">
      <c r="B11" s="147" t="s">
        <v>616</v>
      </c>
      <c r="C11" s="148"/>
      <c r="D11" s="148"/>
      <c r="E11" s="148"/>
      <c r="F11" s="148"/>
      <c r="G11" s="149"/>
    </row>
    <row r="12" spans="2:7" ht="13.2" customHeight="1" x14ac:dyDescent="0.3">
      <c r="B12" s="150"/>
      <c r="C12" s="151"/>
      <c r="D12" s="151"/>
      <c r="E12" s="151"/>
      <c r="F12" s="151"/>
      <c r="G12" s="152"/>
    </row>
    <row r="13" spans="2:7" ht="24" customHeight="1" x14ac:dyDescent="0.3">
      <c r="B13" s="6" t="s">
        <v>0</v>
      </c>
      <c r="C13" s="7" t="s">
        <v>1</v>
      </c>
      <c r="D13" s="8" t="s">
        <v>2</v>
      </c>
      <c r="E13" s="7" t="s">
        <v>3</v>
      </c>
      <c r="F13" s="8" t="s">
        <v>1720</v>
      </c>
      <c r="G13" s="9" t="s">
        <v>4</v>
      </c>
    </row>
    <row r="14" spans="2:7" ht="30" customHeight="1" x14ac:dyDescent="0.3">
      <c r="B14" s="10">
        <v>1</v>
      </c>
      <c r="C14" s="11" t="s">
        <v>1098</v>
      </c>
      <c r="D14" s="12"/>
      <c r="E14" s="13"/>
      <c r="F14" s="12"/>
      <c r="G14" s="14">
        <f>+SUBTOTAL(9,G15:G340)</f>
        <v>0</v>
      </c>
    </row>
    <row r="15" spans="2:7" outlineLevel="1" x14ac:dyDescent="0.3">
      <c r="B15" s="15">
        <v>1.1000000000000001</v>
      </c>
      <c r="C15" s="16" t="s">
        <v>617</v>
      </c>
      <c r="D15" s="17"/>
      <c r="E15" s="18"/>
      <c r="F15" s="19"/>
      <c r="G15" s="20">
        <f>SUBTOTAL(9,G16:G81)</f>
        <v>0</v>
      </c>
    </row>
    <row r="16" spans="2:7" outlineLevel="2" x14ac:dyDescent="0.3">
      <c r="B16" s="21" t="s">
        <v>6</v>
      </c>
      <c r="C16" s="22" t="s">
        <v>7</v>
      </c>
      <c r="D16" s="23"/>
      <c r="E16" s="24"/>
      <c r="F16" s="25"/>
      <c r="G16" s="26">
        <f>+SUBTOTAL(9,G17:G34)</f>
        <v>0</v>
      </c>
    </row>
    <row r="17" spans="2:7" ht="69" outlineLevel="3" x14ac:dyDescent="0.3">
      <c r="B17" s="17" t="s">
        <v>8</v>
      </c>
      <c r="C17" s="16" t="s">
        <v>9</v>
      </c>
      <c r="D17" s="27">
        <f>63.4</f>
        <v>63.4</v>
      </c>
      <c r="E17" s="18" t="s">
        <v>10</v>
      </c>
      <c r="F17" s="19"/>
      <c r="G17" s="28">
        <f>ROUNDUP(D17*F17,2)</f>
        <v>0</v>
      </c>
    </row>
    <row r="18" spans="2:7" ht="69" outlineLevel="3" x14ac:dyDescent="0.3">
      <c r="B18" s="17" t="s">
        <v>11</v>
      </c>
      <c r="C18" s="16" t="s">
        <v>12</v>
      </c>
      <c r="D18" s="27">
        <f>2.48*1.1</f>
        <v>2.7280000000000002</v>
      </c>
      <c r="E18" s="18" t="s">
        <v>13</v>
      </c>
      <c r="F18" s="19"/>
      <c r="G18" s="28">
        <f t="shared" ref="G18:G79" si="0">ROUNDUP(D18*F18,2)</f>
        <v>0</v>
      </c>
    </row>
    <row r="19" spans="2:7" ht="41.4" outlineLevel="3" x14ac:dyDescent="0.3">
      <c r="B19" s="17" t="s">
        <v>14</v>
      </c>
      <c r="C19" s="16" t="s">
        <v>15</v>
      </c>
      <c r="D19" s="27">
        <f>1.1</f>
        <v>1.1000000000000001</v>
      </c>
      <c r="E19" s="18" t="s">
        <v>13</v>
      </c>
      <c r="F19" s="19"/>
      <c r="G19" s="28">
        <f t="shared" si="0"/>
        <v>0</v>
      </c>
    </row>
    <row r="20" spans="2:7" ht="41.4" outlineLevel="3" x14ac:dyDescent="0.3">
      <c r="B20" s="17" t="s">
        <v>16</v>
      </c>
      <c r="C20" s="16" t="s">
        <v>17</v>
      </c>
      <c r="D20" s="27">
        <f>0.96</f>
        <v>0.96</v>
      </c>
      <c r="E20" s="18" t="s">
        <v>13</v>
      </c>
      <c r="F20" s="19"/>
      <c r="G20" s="28">
        <f t="shared" si="0"/>
        <v>0</v>
      </c>
    </row>
    <row r="21" spans="2:7" ht="27.6" outlineLevel="3" x14ac:dyDescent="0.3">
      <c r="B21" s="17" t="s">
        <v>18</v>
      </c>
      <c r="C21" s="16" t="s">
        <v>19</v>
      </c>
      <c r="D21" s="27">
        <f>24.82</f>
        <v>24.82</v>
      </c>
      <c r="E21" s="18" t="s">
        <v>10</v>
      </c>
      <c r="F21" s="19"/>
      <c r="G21" s="28">
        <f t="shared" si="0"/>
        <v>0</v>
      </c>
    </row>
    <row r="22" spans="2:7" ht="27.6" outlineLevel="3" x14ac:dyDescent="0.3">
      <c r="B22" s="17" t="s">
        <v>20</v>
      </c>
      <c r="C22" s="16" t="s">
        <v>21</v>
      </c>
      <c r="D22" s="27">
        <f>24.82</f>
        <v>24.82</v>
      </c>
      <c r="E22" s="18" t="s">
        <v>10</v>
      </c>
      <c r="F22" s="19"/>
      <c r="G22" s="28">
        <f t="shared" si="0"/>
        <v>0</v>
      </c>
    </row>
    <row r="23" spans="2:7" ht="41.4" outlineLevel="3" x14ac:dyDescent="0.3">
      <c r="B23" s="17" t="s">
        <v>22</v>
      </c>
      <c r="C23" s="16" t="s">
        <v>23</v>
      </c>
      <c r="D23" s="27">
        <f>101.36</f>
        <v>101.36</v>
      </c>
      <c r="E23" s="18" t="s">
        <v>10</v>
      </c>
      <c r="F23" s="19"/>
      <c r="G23" s="28">
        <f t="shared" si="0"/>
        <v>0</v>
      </c>
    </row>
    <row r="24" spans="2:7" ht="27.6" outlineLevel="3" x14ac:dyDescent="0.3">
      <c r="B24" s="17" t="s">
        <v>24</v>
      </c>
      <c r="C24" s="16" t="s">
        <v>25</v>
      </c>
      <c r="D24" s="27">
        <f>62.71+27.03</f>
        <v>89.740000000000009</v>
      </c>
      <c r="E24" s="18" t="s">
        <v>10</v>
      </c>
      <c r="F24" s="19"/>
      <c r="G24" s="28">
        <f t="shared" si="0"/>
        <v>0</v>
      </c>
    </row>
    <row r="25" spans="2:7" ht="27.6" outlineLevel="3" x14ac:dyDescent="0.3">
      <c r="B25" s="17" t="s">
        <v>26</v>
      </c>
      <c r="C25" s="16" t="s">
        <v>27</v>
      </c>
      <c r="D25" s="27">
        <f>192.12+72.2-110.88</f>
        <v>153.44</v>
      </c>
      <c r="E25" s="18" t="s">
        <v>28</v>
      </c>
      <c r="F25" s="19"/>
      <c r="G25" s="28">
        <f t="shared" si="0"/>
        <v>0</v>
      </c>
    </row>
    <row r="26" spans="2:7" ht="55.2" outlineLevel="3" x14ac:dyDescent="0.3">
      <c r="B26" s="17" t="s">
        <v>29</v>
      </c>
      <c r="C26" s="16" t="s">
        <v>30</v>
      </c>
      <c r="D26" s="27">
        <f>0.48</f>
        <v>0.48</v>
      </c>
      <c r="E26" s="18" t="s">
        <v>13</v>
      </c>
      <c r="F26" s="19"/>
      <c r="G26" s="28">
        <f t="shared" si="0"/>
        <v>0</v>
      </c>
    </row>
    <row r="27" spans="2:7" ht="41.4" outlineLevel="3" x14ac:dyDescent="0.3">
      <c r="B27" s="17" t="s">
        <v>31</v>
      </c>
      <c r="C27" s="16" t="s">
        <v>32</v>
      </c>
      <c r="D27" s="27">
        <f>164.67</f>
        <v>164.67</v>
      </c>
      <c r="E27" s="18" t="s">
        <v>28</v>
      </c>
      <c r="F27" s="19"/>
      <c r="G27" s="28">
        <f t="shared" si="0"/>
        <v>0</v>
      </c>
    </row>
    <row r="28" spans="2:7" ht="55.2" outlineLevel="3" x14ac:dyDescent="0.3">
      <c r="B28" s="17" t="s">
        <v>33</v>
      </c>
      <c r="C28" s="16" t="s">
        <v>34</v>
      </c>
      <c r="D28" s="27">
        <f>(164.67*2)+ (41.06*2)</f>
        <v>411.46</v>
      </c>
      <c r="E28" s="18" t="s">
        <v>28</v>
      </c>
      <c r="F28" s="19"/>
      <c r="G28" s="28">
        <f t="shared" si="0"/>
        <v>0</v>
      </c>
    </row>
    <row r="29" spans="2:7" ht="41.4" outlineLevel="3" x14ac:dyDescent="0.3">
      <c r="B29" s="17" t="s">
        <v>35</v>
      </c>
      <c r="C29" s="16" t="s">
        <v>36</v>
      </c>
      <c r="D29" s="27">
        <f>140</f>
        <v>140</v>
      </c>
      <c r="E29" s="18" t="s">
        <v>28</v>
      </c>
      <c r="F29" s="19"/>
      <c r="G29" s="28">
        <f t="shared" si="0"/>
        <v>0</v>
      </c>
    </row>
    <row r="30" spans="2:7" ht="82.8" outlineLevel="3" x14ac:dyDescent="0.3">
      <c r="B30" s="17" t="s">
        <v>37</v>
      </c>
      <c r="C30" s="16" t="s">
        <v>1072</v>
      </c>
      <c r="D30" s="27">
        <v>39.86</v>
      </c>
      <c r="E30" s="18" t="s">
        <v>10</v>
      </c>
      <c r="F30" s="19"/>
      <c r="G30" s="28">
        <f t="shared" si="0"/>
        <v>0</v>
      </c>
    </row>
    <row r="31" spans="2:7" ht="27.6" outlineLevel="3" x14ac:dyDescent="0.3">
      <c r="B31" s="17" t="s">
        <v>38</v>
      </c>
      <c r="C31" s="16" t="s">
        <v>39</v>
      </c>
      <c r="D31" s="27">
        <f>12.48</f>
        <v>12.48</v>
      </c>
      <c r="E31" s="18" t="s">
        <v>10</v>
      </c>
      <c r="F31" s="19"/>
      <c r="G31" s="28">
        <f t="shared" si="0"/>
        <v>0</v>
      </c>
    </row>
    <row r="32" spans="2:7" ht="124.2" outlineLevel="3" x14ac:dyDescent="0.3">
      <c r="B32" s="17" t="s">
        <v>40</v>
      </c>
      <c r="C32" s="16" t="s">
        <v>41</v>
      </c>
      <c r="D32" s="27">
        <v>2.5</v>
      </c>
      <c r="E32" s="18" t="s">
        <v>13</v>
      </c>
      <c r="F32" s="19"/>
      <c r="G32" s="28">
        <f t="shared" si="0"/>
        <v>0</v>
      </c>
    </row>
    <row r="33" spans="2:7" ht="27.6" outlineLevel="3" x14ac:dyDescent="0.3">
      <c r="B33" s="17" t="s">
        <v>42</v>
      </c>
      <c r="C33" s="16" t="s">
        <v>43</v>
      </c>
      <c r="D33" s="27">
        <f>8.5*1.5</f>
        <v>12.75</v>
      </c>
      <c r="E33" s="18" t="s">
        <v>10</v>
      </c>
      <c r="F33" s="19"/>
      <c r="G33" s="28">
        <f t="shared" si="0"/>
        <v>0</v>
      </c>
    </row>
    <row r="34" spans="2:7" outlineLevel="3" x14ac:dyDescent="0.3">
      <c r="B34" s="17" t="s">
        <v>44</v>
      </c>
      <c r="C34" s="16" t="s">
        <v>45</v>
      </c>
      <c r="D34" s="27">
        <v>1</v>
      </c>
      <c r="E34" s="18" t="s">
        <v>3</v>
      </c>
      <c r="F34" s="19"/>
      <c r="G34" s="28">
        <f t="shared" si="0"/>
        <v>0</v>
      </c>
    </row>
    <row r="35" spans="2:7" outlineLevel="2" x14ac:dyDescent="0.3">
      <c r="B35" s="21" t="s">
        <v>46</v>
      </c>
      <c r="C35" s="22" t="s">
        <v>47</v>
      </c>
      <c r="D35" s="23"/>
      <c r="E35" s="24"/>
      <c r="F35" s="25"/>
      <c r="G35" s="26">
        <f>+SUBTOTAL(9,G36:G49)</f>
        <v>0</v>
      </c>
    </row>
    <row r="36" spans="2:7" ht="69" outlineLevel="3" x14ac:dyDescent="0.3">
      <c r="B36" s="17" t="s">
        <v>48</v>
      </c>
      <c r="C36" s="16" t="s">
        <v>9</v>
      </c>
      <c r="D36" s="27">
        <f>62.87</f>
        <v>62.87</v>
      </c>
      <c r="E36" s="18" t="s">
        <v>10</v>
      </c>
      <c r="F36" s="19"/>
      <c r="G36" s="28">
        <f t="shared" si="0"/>
        <v>0</v>
      </c>
    </row>
    <row r="37" spans="2:7" ht="41.4" outlineLevel="3" x14ac:dyDescent="0.3">
      <c r="B37" s="17" t="s">
        <v>49</v>
      </c>
      <c r="C37" s="16" t="s">
        <v>15</v>
      </c>
      <c r="D37" s="27">
        <v>0.62</v>
      </c>
      <c r="E37" s="18" t="s">
        <v>13</v>
      </c>
      <c r="F37" s="19"/>
      <c r="G37" s="28">
        <f t="shared" si="0"/>
        <v>0</v>
      </c>
    </row>
    <row r="38" spans="2:7" ht="41.4" outlineLevel="3" x14ac:dyDescent="0.3">
      <c r="B38" s="17" t="s">
        <v>50</v>
      </c>
      <c r="C38" s="16" t="s">
        <v>17</v>
      </c>
      <c r="D38" s="27">
        <v>0.97</v>
      </c>
      <c r="E38" s="18" t="s">
        <v>13</v>
      </c>
      <c r="F38" s="19"/>
      <c r="G38" s="28">
        <f t="shared" si="0"/>
        <v>0</v>
      </c>
    </row>
    <row r="39" spans="2:7" ht="27.6" outlineLevel="3" x14ac:dyDescent="0.3">
      <c r="B39" s="17" t="s">
        <v>51</v>
      </c>
      <c r="C39" s="16" t="s">
        <v>19</v>
      </c>
      <c r="D39" s="27">
        <f>20.1</f>
        <v>20.100000000000001</v>
      </c>
      <c r="E39" s="18" t="s">
        <v>10</v>
      </c>
      <c r="F39" s="19"/>
      <c r="G39" s="28">
        <f t="shared" si="0"/>
        <v>0</v>
      </c>
    </row>
    <row r="40" spans="2:7" ht="27.6" outlineLevel="3" x14ac:dyDescent="0.3">
      <c r="B40" s="17" t="s">
        <v>52</v>
      </c>
      <c r="C40" s="16" t="s">
        <v>21</v>
      </c>
      <c r="D40" s="27">
        <f>20.1</f>
        <v>20.100000000000001</v>
      </c>
      <c r="E40" s="18" t="s">
        <v>10</v>
      </c>
      <c r="F40" s="19"/>
      <c r="G40" s="28">
        <f t="shared" si="0"/>
        <v>0</v>
      </c>
    </row>
    <row r="41" spans="2:7" ht="27.6" outlineLevel="3" x14ac:dyDescent="0.3">
      <c r="B41" s="17" t="s">
        <v>53</v>
      </c>
      <c r="C41" s="16" t="s">
        <v>54</v>
      </c>
      <c r="D41" s="27">
        <f>120.3</f>
        <v>120.3</v>
      </c>
      <c r="E41" s="18" t="s">
        <v>10</v>
      </c>
      <c r="F41" s="19"/>
      <c r="G41" s="28">
        <f t="shared" si="0"/>
        <v>0</v>
      </c>
    </row>
    <row r="42" spans="2:7" ht="27.6" outlineLevel="3" x14ac:dyDescent="0.3">
      <c r="B42" s="17" t="s">
        <v>55</v>
      </c>
      <c r="C42" s="16" t="s">
        <v>25</v>
      </c>
      <c r="D42" s="27">
        <v>120.75</v>
      </c>
      <c r="E42" s="18" t="s">
        <v>10</v>
      </c>
      <c r="F42" s="19"/>
      <c r="G42" s="28">
        <f t="shared" si="0"/>
        <v>0</v>
      </c>
    </row>
    <row r="43" spans="2:7" ht="27.6" outlineLevel="3" x14ac:dyDescent="0.3">
      <c r="B43" s="17" t="s">
        <v>56</v>
      </c>
      <c r="C43" s="16" t="s">
        <v>57</v>
      </c>
      <c r="D43" s="27">
        <f>113.25</f>
        <v>113.25</v>
      </c>
      <c r="E43" s="18" t="s">
        <v>28</v>
      </c>
      <c r="F43" s="19"/>
      <c r="G43" s="28">
        <f t="shared" si="0"/>
        <v>0</v>
      </c>
    </row>
    <row r="44" spans="2:7" ht="55.2" outlineLevel="3" x14ac:dyDescent="0.3">
      <c r="B44" s="17" t="s">
        <v>58</v>
      </c>
      <c r="C44" s="16" t="s">
        <v>30</v>
      </c>
      <c r="D44" s="27">
        <f>0.48</f>
        <v>0.48</v>
      </c>
      <c r="E44" s="18" t="s">
        <v>13</v>
      </c>
      <c r="F44" s="19"/>
      <c r="G44" s="28">
        <f t="shared" si="0"/>
        <v>0</v>
      </c>
    </row>
    <row r="45" spans="2:7" ht="41.4" outlineLevel="3" x14ac:dyDescent="0.3">
      <c r="B45" s="17" t="s">
        <v>59</v>
      </c>
      <c r="C45" s="16" t="s">
        <v>32</v>
      </c>
      <c r="D45" s="27">
        <f>177.7-34.11</f>
        <v>143.58999999999997</v>
      </c>
      <c r="E45" s="18" t="s">
        <v>28</v>
      </c>
      <c r="F45" s="19"/>
      <c r="G45" s="28">
        <f t="shared" si="0"/>
        <v>0</v>
      </c>
    </row>
    <row r="46" spans="2:7" ht="55.2" outlineLevel="3" x14ac:dyDescent="0.3">
      <c r="B46" s="17" t="s">
        <v>60</v>
      </c>
      <c r="C46" s="16" t="s">
        <v>34</v>
      </c>
      <c r="D46" s="27">
        <f>(143.59*2)+(34.11*2)</f>
        <v>355.4</v>
      </c>
      <c r="E46" s="18" t="s">
        <v>28</v>
      </c>
      <c r="F46" s="19"/>
      <c r="G46" s="28">
        <f t="shared" si="0"/>
        <v>0</v>
      </c>
    </row>
    <row r="47" spans="2:7" ht="82.8" outlineLevel="3" x14ac:dyDescent="0.3">
      <c r="B47" s="17" t="s">
        <v>61</v>
      </c>
      <c r="C47" s="16" t="s">
        <v>62</v>
      </c>
      <c r="D47" s="27">
        <v>1200</v>
      </c>
      <c r="E47" s="18" t="s">
        <v>10</v>
      </c>
      <c r="F47" s="19"/>
      <c r="G47" s="28">
        <f t="shared" si="0"/>
        <v>0</v>
      </c>
    </row>
    <row r="48" spans="2:7" ht="124.2" outlineLevel="3" x14ac:dyDescent="0.3">
      <c r="B48" s="17" t="s">
        <v>63</v>
      </c>
      <c r="C48" s="16" t="s">
        <v>41</v>
      </c>
      <c r="D48" s="27">
        <v>2.5</v>
      </c>
      <c r="E48" s="18" t="s">
        <v>13</v>
      </c>
      <c r="F48" s="19"/>
      <c r="G48" s="28">
        <f t="shared" si="0"/>
        <v>0</v>
      </c>
    </row>
    <row r="49" spans="2:7" ht="27.6" outlineLevel="3" x14ac:dyDescent="0.3">
      <c r="B49" s="17" t="s">
        <v>64</v>
      </c>
      <c r="C49" s="16" t="s">
        <v>43</v>
      </c>
      <c r="D49" s="27">
        <f>8.5*1.5</f>
        <v>12.75</v>
      </c>
      <c r="E49" s="18" t="s">
        <v>10</v>
      </c>
      <c r="F49" s="19"/>
      <c r="G49" s="28">
        <f t="shared" si="0"/>
        <v>0</v>
      </c>
    </row>
    <row r="50" spans="2:7" outlineLevel="2" x14ac:dyDescent="0.3">
      <c r="B50" s="21" t="s">
        <v>65</v>
      </c>
      <c r="C50" s="22" t="s">
        <v>66</v>
      </c>
      <c r="D50" s="23"/>
      <c r="E50" s="24"/>
      <c r="F50" s="25"/>
      <c r="G50" s="26">
        <f>+SUBTOTAL(9,G51:G64)</f>
        <v>0</v>
      </c>
    </row>
    <row r="51" spans="2:7" ht="69" outlineLevel="3" x14ac:dyDescent="0.3">
      <c r="B51" s="17" t="s">
        <v>67</v>
      </c>
      <c r="C51" s="16" t="s">
        <v>9</v>
      </c>
      <c r="D51" s="27">
        <f>62.87</f>
        <v>62.87</v>
      </c>
      <c r="E51" s="18" t="s">
        <v>10</v>
      </c>
      <c r="F51" s="19"/>
      <c r="G51" s="28">
        <f t="shared" si="0"/>
        <v>0</v>
      </c>
    </row>
    <row r="52" spans="2:7" ht="41.4" outlineLevel="3" x14ac:dyDescent="0.3">
      <c r="B52" s="17" t="s">
        <v>68</v>
      </c>
      <c r="C52" s="16" t="s">
        <v>15</v>
      </c>
      <c r="D52" s="27">
        <v>0.62</v>
      </c>
      <c r="E52" s="18" t="s">
        <v>13</v>
      </c>
      <c r="F52" s="19"/>
      <c r="G52" s="28">
        <f t="shared" si="0"/>
        <v>0</v>
      </c>
    </row>
    <row r="53" spans="2:7" ht="41.4" outlineLevel="3" x14ac:dyDescent="0.3">
      <c r="B53" s="17" t="s">
        <v>69</v>
      </c>
      <c r="C53" s="16" t="s">
        <v>17</v>
      </c>
      <c r="D53" s="27">
        <f>0.76</f>
        <v>0.76</v>
      </c>
      <c r="E53" s="18" t="s">
        <v>13</v>
      </c>
      <c r="F53" s="19"/>
      <c r="G53" s="28">
        <f t="shared" si="0"/>
        <v>0</v>
      </c>
    </row>
    <row r="54" spans="2:7" ht="27.6" outlineLevel="3" x14ac:dyDescent="0.3">
      <c r="B54" s="17" t="s">
        <v>70</v>
      </c>
      <c r="C54" s="16" t="s">
        <v>71</v>
      </c>
      <c r="D54" s="27">
        <f>17.92</f>
        <v>17.920000000000002</v>
      </c>
      <c r="E54" s="18" t="s">
        <v>10</v>
      </c>
      <c r="F54" s="19"/>
      <c r="G54" s="28">
        <f t="shared" si="0"/>
        <v>0</v>
      </c>
    </row>
    <row r="55" spans="2:7" ht="27.6" outlineLevel="3" x14ac:dyDescent="0.3">
      <c r="B55" s="17" t="s">
        <v>72</v>
      </c>
      <c r="C55" s="16" t="s">
        <v>21</v>
      </c>
      <c r="D55" s="27">
        <f>17.92</f>
        <v>17.920000000000002</v>
      </c>
      <c r="E55" s="18" t="s">
        <v>10</v>
      </c>
      <c r="F55" s="19"/>
      <c r="G55" s="28">
        <f t="shared" si="0"/>
        <v>0</v>
      </c>
    </row>
    <row r="56" spans="2:7" ht="27.6" outlineLevel="3" x14ac:dyDescent="0.3">
      <c r="B56" s="17" t="s">
        <v>73</v>
      </c>
      <c r="C56" s="16" t="s">
        <v>54</v>
      </c>
      <c r="D56" s="27">
        <f>120.05</f>
        <v>120.05</v>
      </c>
      <c r="E56" s="18" t="s">
        <v>10</v>
      </c>
      <c r="F56" s="19"/>
      <c r="G56" s="28">
        <f t="shared" si="0"/>
        <v>0</v>
      </c>
    </row>
    <row r="57" spans="2:7" ht="27.6" outlineLevel="3" x14ac:dyDescent="0.3">
      <c r="B57" s="17" t="s">
        <v>74</v>
      </c>
      <c r="C57" s="16" t="s">
        <v>25</v>
      </c>
      <c r="D57" s="27">
        <f>120.75</f>
        <v>120.75</v>
      </c>
      <c r="E57" s="18" t="s">
        <v>10</v>
      </c>
      <c r="F57" s="19"/>
      <c r="G57" s="28">
        <f t="shared" si="0"/>
        <v>0</v>
      </c>
    </row>
    <row r="58" spans="2:7" ht="27.6" outlineLevel="3" x14ac:dyDescent="0.3">
      <c r="B58" s="17" t="s">
        <v>75</v>
      </c>
      <c r="C58" s="16" t="s">
        <v>57</v>
      </c>
      <c r="D58" s="27">
        <f>113.25</f>
        <v>113.25</v>
      </c>
      <c r="E58" s="18" t="s">
        <v>28</v>
      </c>
      <c r="F58" s="19"/>
      <c r="G58" s="28">
        <f t="shared" si="0"/>
        <v>0</v>
      </c>
    </row>
    <row r="59" spans="2:7" ht="55.2" outlineLevel="3" x14ac:dyDescent="0.3">
      <c r="B59" s="17" t="s">
        <v>76</v>
      </c>
      <c r="C59" s="16" t="s">
        <v>30</v>
      </c>
      <c r="D59" s="27">
        <f>0.48</f>
        <v>0.48</v>
      </c>
      <c r="E59" s="18" t="s">
        <v>13</v>
      </c>
      <c r="F59" s="19"/>
      <c r="G59" s="28">
        <f t="shared" si="0"/>
        <v>0</v>
      </c>
    </row>
    <row r="60" spans="2:7" ht="41.4" outlineLevel="3" x14ac:dyDescent="0.3">
      <c r="B60" s="17" t="s">
        <v>77</v>
      </c>
      <c r="C60" s="16" t="s">
        <v>32</v>
      </c>
      <c r="D60" s="27">
        <f>177.7-34.11</f>
        <v>143.58999999999997</v>
      </c>
      <c r="E60" s="18" t="s">
        <v>28</v>
      </c>
      <c r="F60" s="19"/>
      <c r="G60" s="28">
        <f t="shared" si="0"/>
        <v>0</v>
      </c>
    </row>
    <row r="61" spans="2:7" ht="55.2" outlineLevel="3" x14ac:dyDescent="0.3">
      <c r="B61" s="17" t="s">
        <v>78</v>
      </c>
      <c r="C61" s="16" t="s">
        <v>34</v>
      </c>
      <c r="D61" s="27">
        <f>(143.59*2)+(34.11*2)</f>
        <v>355.4</v>
      </c>
      <c r="E61" s="18" t="s">
        <v>28</v>
      </c>
      <c r="F61" s="19"/>
      <c r="G61" s="28">
        <f t="shared" si="0"/>
        <v>0</v>
      </c>
    </row>
    <row r="62" spans="2:7" ht="82.8" outlineLevel="3" x14ac:dyDescent="0.3">
      <c r="B62" s="17" t="s">
        <v>79</v>
      </c>
      <c r="C62" s="16" t="s">
        <v>62</v>
      </c>
      <c r="D62" s="27">
        <v>1200</v>
      </c>
      <c r="E62" s="18" t="s">
        <v>10</v>
      </c>
      <c r="F62" s="19"/>
      <c r="G62" s="28">
        <f t="shared" si="0"/>
        <v>0</v>
      </c>
    </row>
    <row r="63" spans="2:7" ht="124.2" outlineLevel="3" x14ac:dyDescent="0.3">
      <c r="B63" s="17" t="s">
        <v>80</v>
      </c>
      <c r="C63" s="16" t="s">
        <v>41</v>
      </c>
      <c r="D63" s="27">
        <v>2.5</v>
      </c>
      <c r="E63" s="18" t="s">
        <v>13</v>
      </c>
      <c r="F63" s="19"/>
      <c r="G63" s="28">
        <f t="shared" si="0"/>
        <v>0</v>
      </c>
    </row>
    <row r="64" spans="2:7" ht="27.6" outlineLevel="3" x14ac:dyDescent="0.3">
      <c r="B64" s="17" t="s">
        <v>81</v>
      </c>
      <c r="C64" s="16" t="s">
        <v>43</v>
      </c>
      <c r="D64" s="27">
        <f>8.5*1.5</f>
        <v>12.75</v>
      </c>
      <c r="E64" s="18" t="s">
        <v>10</v>
      </c>
      <c r="F64" s="19"/>
      <c r="G64" s="28">
        <f t="shared" si="0"/>
        <v>0</v>
      </c>
    </row>
    <row r="65" spans="2:7" outlineLevel="2" x14ac:dyDescent="0.3">
      <c r="B65" s="21" t="s">
        <v>82</v>
      </c>
      <c r="C65" s="22" t="s">
        <v>83</v>
      </c>
      <c r="D65" s="23"/>
      <c r="E65" s="24"/>
      <c r="F65" s="25"/>
      <c r="G65" s="26">
        <f>+SUBTOTAL(9,G66:G79)</f>
        <v>0</v>
      </c>
    </row>
    <row r="66" spans="2:7" ht="69" outlineLevel="3" x14ac:dyDescent="0.3">
      <c r="B66" s="17" t="s">
        <v>84</v>
      </c>
      <c r="C66" s="16" t="s">
        <v>9</v>
      </c>
      <c r="D66" s="27">
        <f>65.21</f>
        <v>65.209999999999994</v>
      </c>
      <c r="E66" s="18" t="s">
        <v>10</v>
      </c>
      <c r="F66" s="19"/>
      <c r="G66" s="28">
        <f t="shared" si="0"/>
        <v>0</v>
      </c>
    </row>
    <row r="67" spans="2:7" ht="55.2" outlineLevel="3" x14ac:dyDescent="0.3">
      <c r="B67" s="17" t="s">
        <v>85</v>
      </c>
      <c r="C67" s="16" t="s">
        <v>86</v>
      </c>
      <c r="D67" s="27">
        <f>0.64</f>
        <v>0.64</v>
      </c>
      <c r="E67" s="18" t="s">
        <v>13</v>
      </c>
      <c r="F67" s="19"/>
      <c r="G67" s="28">
        <f t="shared" si="0"/>
        <v>0</v>
      </c>
    </row>
    <row r="68" spans="2:7" ht="55.2" outlineLevel="3" x14ac:dyDescent="0.3">
      <c r="B68" s="17" t="s">
        <v>87</v>
      </c>
      <c r="C68" s="16" t="s">
        <v>88</v>
      </c>
      <c r="D68" s="27">
        <f>0.94</f>
        <v>0.94</v>
      </c>
      <c r="E68" s="18" t="s">
        <v>13</v>
      </c>
      <c r="F68" s="19"/>
      <c r="G68" s="28">
        <f t="shared" si="0"/>
        <v>0</v>
      </c>
    </row>
    <row r="69" spans="2:7" ht="27.6" outlineLevel="3" x14ac:dyDescent="0.3">
      <c r="B69" s="17" t="s">
        <v>89</v>
      </c>
      <c r="C69" s="16" t="s">
        <v>71</v>
      </c>
      <c r="D69" s="27">
        <f>19.91</f>
        <v>19.91</v>
      </c>
      <c r="E69" s="18" t="s">
        <v>10</v>
      </c>
      <c r="F69" s="19"/>
      <c r="G69" s="28">
        <f t="shared" si="0"/>
        <v>0</v>
      </c>
    </row>
    <row r="70" spans="2:7" ht="27.6" outlineLevel="3" x14ac:dyDescent="0.3">
      <c r="B70" s="17" t="s">
        <v>90</v>
      </c>
      <c r="C70" s="16" t="s">
        <v>21</v>
      </c>
      <c r="D70" s="27">
        <f>19.91</f>
        <v>19.91</v>
      </c>
      <c r="E70" s="18" t="s">
        <v>10</v>
      </c>
      <c r="F70" s="19"/>
      <c r="G70" s="28">
        <f t="shared" si="0"/>
        <v>0</v>
      </c>
    </row>
    <row r="71" spans="2:7" ht="27.6" outlineLevel="3" x14ac:dyDescent="0.3">
      <c r="B71" s="17" t="s">
        <v>91</v>
      </c>
      <c r="C71" s="16" t="s">
        <v>54</v>
      </c>
      <c r="D71" s="27">
        <f>127.47</f>
        <v>127.47</v>
      </c>
      <c r="E71" s="18" t="s">
        <v>10</v>
      </c>
      <c r="F71" s="19"/>
      <c r="G71" s="28">
        <f t="shared" si="0"/>
        <v>0</v>
      </c>
    </row>
    <row r="72" spans="2:7" ht="27.6" outlineLevel="3" x14ac:dyDescent="0.3">
      <c r="B72" s="17" t="s">
        <v>92</v>
      </c>
      <c r="C72" s="16" t="s">
        <v>25</v>
      </c>
      <c r="D72" s="27">
        <f>120.75</f>
        <v>120.75</v>
      </c>
      <c r="E72" s="18" t="s">
        <v>10</v>
      </c>
      <c r="F72" s="19"/>
      <c r="G72" s="28">
        <f t="shared" si="0"/>
        <v>0</v>
      </c>
    </row>
    <row r="73" spans="2:7" ht="27.6" outlineLevel="3" x14ac:dyDescent="0.3">
      <c r="B73" s="17" t="s">
        <v>93</v>
      </c>
      <c r="C73" s="16" t="s">
        <v>27</v>
      </c>
      <c r="D73" s="27">
        <f>113.25</f>
        <v>113.25</v>
      </c>
      <c r="E73" s="18" t="s">
        <v>28</v>
      </c>
      <c r="F73" s="19"/>
      <c r="G73" s="28">
        <f t="shared" si="0"/>
        <v>0</v>
      </c>
    </row>
    <row r="74" spans="2:7" ht="55.2" outlineLevel="3" x14ac:dyDescent="0.3">
      <c r="B74" s="17" t="s">
        <v>94</v>
      </c>
      <c r="C74" s="16" t="s">
        <v>30</v>
      </c>
      <c r="D74" s="27">
        <f>0.48</f>
        <v>0.48</v>
      </c>
      <c r="E74" s="18" t="s">
        <v>13</v>
      </c>
      <c r="F74" s="19"/>
      <c r="G74" s="28">
        <f t="shared" si="0"/>
        <v>0</v>
      </c>
    </row>
    <row r="75" spans="2:7" ht="41.4" outlineLevel="3" x14ac:dyDescent="0.3">
      <c r="B75" s="17" t="s">
        <v>95</v>
      </c>
      <c r="C75" s="16" t="s">
        <v>32</v>
      </c>
      <c r="D75" s="27">
        <f>177.7-31.95</f>
        <v>145.75</v>
      </c>
      <c r="E75" s="18" t="s">
        <v>28</v>
      </c>
      <c r="F75" s="19"/>
      <c r="G75" s="28">
        <f t="shared" si="0"/>
        <v>0</v>
      </c>
    </row>
    <row r="76" spans="2:7" ht="55.2" outlineLevel="3" x14ac:dyDescent="0.3">
      <c r="B76" s="17" t="s">
        <v>96</v>
      </c>
      <c r="C76" s="16" t="s">
        <v>34</v>
      </c>
      <c r="D76" s="27">
        <f>(145.75*2)+(31.95*2)</f>
        <v>355.4</v>
      </c>
      <c r="E76" s="18" t="s">
        <v>28</v>
      </c>
      <c r="F76" s="19"/>
      <c r="G76" s="28">
        <f t="shared" si="0"/>
        <v>0</v>
      </c>
    </row>
    <row r="77" spans="2:7" ht="82.8" outlineLevel="3" x14ac:dyDescent="0.3">
      <c r="B77" s="17" t="s">
        <v>97</v>
      </c>
      <c r="C77" s="16" t="s">
        <v>62</v>
      </c>
      <c r="D77" s="27">
        <v>1200</v>
      </c>
      <c r="E77" s="18" t="s">
        <v>10</v>
      </c>
      <c r="F77" s="19"/>
      <c r="G77" s="28">
        <f t="shared" si="0"/>
        <v>0</v>
      </c>
    </row>
    <row r="78" spans="2:7" ht="124.2" outlineLevel="3" x14ac:dyDescent="0.3">
      <c r="B78" s="17" t="s">
        <v>98</v>
      </c>
      <c r="C78" s="16" t="s">
        <v>41</v>
      </c>
      <c r="D78" s="27">
        <v>2.5</v>
      </c>
      <c r="E78" s="18" t="s">
        <v>13</v>
      </c>
      <c r="F78" s="19"/>
      <c r="G78" s="28">
        <f t="shared" si="0"/>
        <v>0</v>
      </c>
    </row>
    <row r="79" spans="2:7" ht="27.6" outlineLevel="3" x14ac:dyDescent="0.3">
      <c r="B79" s="17" t="s">
        <v>99</v>
      </c>
      <c r="C79" s="16" t="s">
        <v>43</v>
      </c>
      <c r="D79" s="27">
        <f>8.5*1.5</f>
        <v>12.75</v>
      </c>
      <c r="E79" s="18" t="s">
        <v>10</v>
      </c>
      <c r="F79" s="19"/>
      <c r="G79" s="28">
        <f t="shared" si="0"/>
        <v>0</v>
      </c>
    </row>
    <row r="80" spans="2:7" outlineLevel="3" x14ac:dyDescent="0.3">
      <c r="B80" s="15"/>
      <c r="C80" s="16"/>
      <c r="D80" s="17"/>
      <c r="E80" s="18"/>
      <c r="F80" s="19"/>
      <c r="G80" s="20"/>
    </row>
    <row r="81" spans="2:7" outlineLevel="2" x14ac:dyDescent="0.3">
      <c r="B81" s="15"/>
      <c r="C81" s="16"/>
      <c r="D81" s="17"/>
      <c r="E81" s="18"/>
      <c r="F81" s="19"/>
      <c r="G81" s="20"/>
    </row>
    <row r="82" spans="2:7" outlineLevel="1" x14ac:dyDescent="0.3">
      <c r="B82" s="15">
        <v>1.2</v>
      </c>
      <c r="C82" s="16" t="s">
        <v>618</v>
      </c>
      <c r="D82" s="17"/>
      <c r="E82" s="18"/>
      <c r="F82" s="19"/>
      <c r="G82" s="20">
        <f>SUBTOTAL(9,G83:G204)</f>
        <v>0</v>
      </c>
    </row>
    <row r="83" spans="2:7" outlineLevel="2" x14ac:dyDescent="0.3">
      <c r="B83" s="21" t="s">
        <v>100</v>
      </c>
      <c r="C83" s="22" t="s">
        <v>101</v>
      </c>
      <c r="D83" s="23"/>
      <c r="E83" s="24"/>
      <c r="F83" s="25"/>
      <c r="G83" s="26">
        <f>+SUBTOTAL(9,G84:G100)</f>
        <v>0</v>
      </c>
    </row>
    <row r="84" spans="2:7" ht="69" outlineLevel="3" x14ac:dyDescent="0.3">
      <c r="B84" s="17" t="s">
        <v>102</v>
      </c>
      <c r="C84" s="16" t="s">
        <v>9</v>
      </c>
      <c r="D84" s="27">
        <f>92.37*1.1</f>
        <v>101.60700000000001</v>
      </c>
      <c r="E84" s="18" t="s">
        <v>10</v>
      </c>
      <c r="F84" s="19"/>
      <c r="G84" s="28">
        <f t="shared" ref="G84:G100" si="1">ROUNDUP(D84*F84,2)</f>
        <v>0</v>
      </c>
    </row>
    <row r="85" spans="2:7" ht="41.4" outlineLevel="3" x14ac:dyDescent="0.3">
      <c r="B85" s="17" t="s">
        <v>103</v>
      </c>
      <c r="C85" s="16" t="s">
        <v>104</v>
      </c>
      <c r="D85" s="27">
        <f>1.94</f>
        <v>1.94</v>
      </c>
      <c r="E85" s="18" t="s">
        <v>13</v>
      </c>
      <c r="F85" s="19"/>
      <c r="G85" s="28">
        <f t="shared" si="1"/>
        <v>0</v>
      </c>
    </row>
    <row r="86" spans="2:7" ht="27.6" outlineLevel="3" x14ac:dyDescent="0.3">
      <c r="B86" s="17" t="s">
        <v>105</v>
      </c>
      <c r="C86" s="16" t="s">
        <v>106</v>
      </c>
      <c r="D86" s="27">
        <f>2.98</f>
        <v>2.98</v>
      </c>
      <c r="E86" s="18" t="s">
        <v>13</v>
      </c>
      <c r="F86" s="19"/>
      <c r="G86" s="28">
        <f t="shared" si="1"/>
        <v>0</v>
      </c>
    </row>
    <row r="87" spans="2:7" outlineLevel="3" x14ac:dyDescent="0.3">
      <c r="B87" s="17" t="s">
        <v>107</v>
      </c>
      <c r="C87" s="16" t="s">
        <v>108</v>
      </c>
      <c r="D87" s="27">
        <f>65.84</f>
        <v>65.84</v>
      </c>
      <c r="E87" s="18" t="s">
        <v>10</v>
      </c>
      <c r="F87" s="19"/>
      <c r="G87" s="28">
        <f t="shared" si="1"/>
        <v>0</v>
      </c>
    </row>
    <row r="88" spans="2:7" outlineLevel="3" x14ac:dyDescent="0.3">
      <c r="B88" s="17" t="s">
        <v>109</v>
      </c>
      <c r="C88" s="16" t="s">
        <v>110</v>
      </c>
      <c r="D88" s="27">
        <f>65.84</f>
        <v>65.84</v>
      </c>
      <c r="E88" s="18" t="s">
        <v>10</v>
      </c>
      <c r="F88" s="19"/>
      <c r="G88" s="28">
        <f t="shared" si="1"/>
        <v>0</v>
      </c>
    </row>
    <row r="89" spans="2:7" ht="27.6" outlineLevel="3" x14ac:dyDescent="0.3">
      <c r="B89" s="17" t="s">
        <v>111</v>
      </c>
      <c r="C89" s="16" t="s">
        <v>112</v>
      </c>
      <c r="D89" s="27">
        <f>426.97</f>
        <v>426.97</v>
      </c>
      <c r="E89" s="18" t="s">
        <v>10</v>
      </c>
      <c r="F89" s="19"/>
      <c r="G89" s="28">
        <f t="shared" si="1"/>
        <v>0</v>
      </c>
    </row>
    <row r="90" spans="2:7" ht="41.4" outlineLevel="3" x14ac:dyDescent="0.3">
      <c r="B90" s="17" t="s">
        <v>113</v>
      </c>
      <c r="C90" s="16" t="s">
        <v>114</v>
      </c>
      <c r="D90" s="27">
        <f>56.38</f>
        <v>56.38</v>
      </c>
      <c r="E90" s="18" t="s">
        <v>10</v>
      </c>
      <c r="F90" s="19"/>
      <c r="G90" s="28">
        <f t="shared" si="1"/>
        <v>0</v>
      </c>
    </row>
    <row r="91" spans="2:7" outlineLevel="3" x14ac:dyDescent="0.3">
      <c r="B91" s="17" t="s">
        <v>115</v>
      </c>
      <c r="C91" s="16" t="s">
        <v>116</v>
      </c>
      <c r="D91" s="27">
        <f>104</f>
        <v>104</v>
      </c>
      <c r="E91" s="18" t="s">
        <v>28</v>
      </c>
      <c r="F91" s="19"/>
      <c r="G91" s="28">
        <f t="shared" si="1"/>
        <v>0</v>
      </c>
    </row>
    <row r="92" spans="2:7" ht="27.6" outlineLevel="3" x14ac:dyDescent="0.3">
      <c r="B92" s="17" t="s">
        <v>117</v>
      </c>
      <c r="C92" s="16" t="s">
        <v>118</v>
      </c>
      <c r="D92" s="27">
        <f>1.07</f>
        <v>1.07</v>
      </c>
      <c r="E92" s="18" t="s">
        <v>13</v>
      </c>
      <c r="F92" s="19"/>
      <c r="G92" s="28">
        <f t="shared" si="1"/>
        <v>0</v>
      </c>
    </row>
    <row r="93" spans="2:7" ht="41.4" outlineLevel="3" x14ac:dyDescent="0.3">
      <c r="B93" s="17" t="s">
        <v>119</v>
      </c>
      <c r="C93" s="16" t="s">
        <v>120</v>
      </c>
      <c r="D93" s="27">
        <f>117.56*2</f>
        <v>235.12</v>
      </c>
      <c r="E93" s="18" t="s">
        <v>28</v>
      </c>
      <c r="F93" s="19"/>
      <c r="G93" s="28">
        <f t="shared" si="1"/>
        <v>0</v>
      </c>
    </row>
    <row r="94" spans="2:7" ht="55.2" outlineLevel="3" x14ac:dyDescent="0.3">
      <c r="B94" s="17" t="s">
        <v>121</v>
      </c>
      <c r="C94" s="16" t="s">
        <v>122</v>
      </c>
      <c r="D94" s="27">
        <f>117.56*4</f>
        <v>470.24</v>
      </c>
      <c r="E94" s="18" t="s">
        <v>28</v>
      </c>
      <c r="F94" s="19"/>
      <c r="G94" s="28">
        <f t="shared" si="1"/>
        <v>0</v>
      </c>
    </row>
    <row r="95" spans="2:7" ht="41.4" outlineLevel="3" x14ac:dyDescent="0.3">
      <c r="B95" s="17" t="s">
        <v>123</v>
      </c>
      <c r="C95" s="16" t="s">
        <v>124</v>
      </c>
      <c r="D95" s="27">
        <f>1.1*3.9</f>
        <v>4.29</v>
      </c>
      <c r="E95" s="18" t="s">
        <v>10</v>
      </c>
      <c r="F95" s="19"/>
      <c r="G95" s="28">
        <f t="shared" si="1"/>
        <v>0</v>
      </c>
    </row>
    <row r="96" spans="2:7" ht="55.2" outlineLevel="3" x14ac:dyDescent="0.3">
      <c r="B96" s="17" t="s">
        <v>125</v>
      </c>
      <c r="C96" s="16" t="s">
        <v>126</v>
      </c>
      <c r="D96" s="27">
        <v>2.4300000000000002</v>
      </c>
      <c r="E96" s="18" t="s">
        <v>28</v>
      </c>
      <c r="F96" s="19"/>
      <c r="G96" s="28">
        <f t="shared" si="1"/>
        <v>0</v>
      </c>
    </row>
    <row r="97" spans="2:7" ht="41.4" outlineLevel="3" x14ac:dyDescent="0.3">
      <c r="B97" s="17" t="s">
        <v>127</v>
      </c>
      <c r="C97" s="16" t="s">
        <v>128</v>
      </c>
      <c r="D97" s="27">
        <v>55.95</v>
      </c>
      <c r="E97" s="18" t="s">
        <v>28</v>
      </c>
      <c r="F97" s="19"/>
      <c r="G97" s="28">
        <f t="shared" si="1"/>
        <v>0</v>
      </c>
    </row>
    <row r="98" spans="2:7" ht="69" outlineLevel="3" x14ac:dyDescent="0.3">
      <c r="B98" s="17" t="s">
        <v>129</v>
      </c>
      <c r="C98" s="16" t="s">
        <v>130</v>
      </c>
      <c r="D98" s="27">
        <f>630</f>
        <v>630</v>
      </c>
      <c r="E98" s="18" t="s">
        <v>10</v>
      </c>
      <c r="F98" s="19"/>
      <c r="G98" s="28">
        <f t="shared" si="1"/>
        <v>0</v>
      </c>
    </row>
    <row r="99" spans="2:7" ht="41.4" outlineLevel="3" x14ac:dyDescent="0.3">
      <c r="B99" s="17" t="s">
        <v>131</v>
      </c>
      <c r="C99" s="16" t="s">
        <v>132</v>
      </c>
      <c r="D99" s="27">
        <f>630</f>
        <v>630</v>
      </c>
      <c r="E99" s="18" t="s">
        <v>10</v>
      </c>
      <c r="F99" s="19"/>
      <c r="G99" s="28">
        <f t="shared" si="1"/>
        <v>0</v>
      </c>
    </row>
    <row r="100" spans="2:7" ht="41.4" outlineLevel="3" x14ac:dyDescent="0.3">
      <c r="B100" s="17" t="s">
        <v>133</v>
      </c>
      <c r="C100" s="16" t="s">
        <v>134</v>
      </c>
      <c r="D100" s="27">
        <f>(15.86+1.25+10.45+8.2+10.6)*1.5</f>
        <v>69.539999999999992</v>
      </c>
      <c r="E100" s="18" t="s">
        <v>10</v>
      </c>
      <c r="F100" s="19"/>
      <c r="G100" s="28">
        <f t="shared" si="1"/>
        <v>0</v>
      </c>
    </row>
    <row r="101" spans="2:7" outlineLevel="2" x14ac:dyDescent="0.3">
      <c r="B101" s="21" t="s">
        <v>135</v>
      </c>
      <c r="C101" s="22" t="s">
        <v>136</v>
      </c>
      <c r="D101" s="23"/>
      <c r="E101" s="24"/>
      <c r="F101" s="25"/>
      <c r="G101" s="26">
        <f>+SUBTOTAL(9,G102:G116)</f>
        <v>0</v>
      </c>
    </row>
    <row r="102" spans="2:7" ht="55.2" outlineLevel="3" x14ac:dyDescent="0.3">
      <c r="B102" s="17" t="s">
        <v>137</v>
      </c>
      <c r="C102" s="16" t="s">
        <v>138</v>
      </c>
      <c r="D102" s="27">
        <f>91.78</f>
        <v>91.78</v>
      </c>
      <c r="E102" s="18" t="s">
        <v>10</v>
      </c>
      <c r="F102" s="19"/>
      <c r="G102" s="28">
        <f t="shared" ref="G102:G167" si="2">ROUNDUP(D102*F102,2)</f>
        <v>0</v>
      </c>
    </row>
    <row r="103" spans="2:7" ht="41.4" outlineLevel="3" x14ac:dyDescent="0.3">
      <c r="B103" s="17" t="s">
        <v>139</v>
      </c>
      <c r="C103" s="16" t="s">
        <v>140</v>
      </c>
      <c r="D103" s="27">
        <f>1.06</f>
        <v>1.06</v>
      </c>
      <c r="E103" s="18" t="s">
        <v>13</v>
      </c>
      <c r="F103" s="19"/>
      <c r="G103" s="28">
        <f t="shared" si="2"/>
        <v>0</v>
      </c>
    </row>
    <row r="104" spans="2:7" ht="41.4" outlineLevel="3" x14ac:dyDescent="0.3">
      <c r="B104" s="17" t="s">
        <v>141</v>
      </c>
      <c r="C104" s="16" t="s">
        <v>142</v>
      </c>
      <c r="D104" s="27">
        <f>1.29</f>
        <v>1.29</v>
      </c>
      <c r="E104" s="18" t="s">
        <v>13</v>
      </c>
      <c r="F104" s="19"/>
      <c r="G104" s="28">
        <f t="shared" si="2"/>
        <v>0</v>
      </c>
    </row>
    <row r="105" spans="2:7" ht="27.6" outlineLevel="3" x14ac:dyDescent="0.3">
      <c r="B105" s="17" t="s">
        <v>143</v>
      </c>
      <c r="C105" s="16" t="s">
        <v>144</v>
      </c>
      <c r="D105" s="27">
        <f>47.38</f>
        <v>47.38</v>
      </c>
      <c r="E105" s="18" t="s">
        <v>10</v>
      </c>
      <c r="F105" s="19"/>
      <c r="G105" s="28">
        <f t="shared" si="2"/>
        <v>0</v>
      </c>
    </row>
    <row r="106" spans="2:7" ht="27.6" outlineLevel="3" x14ac:dyDescent="0.3">
      <c r="B106" s="17" t="s">
        <v>145</v>
      </c>
      <c r="C106" s="16" t="s">
        <v>146</v>
      </c>
      <c r="D106" s="27">
        <f>47.38</f>
        <v>47.38</v>
      </c>
      <c r="E106" s="18" t="s">
        <v>10</v>
      </c>
      <c r="F106" s="19"/>
      <c r="G106" s="28">
        <f t="shared" si="2"/>
        <v>0</v>
      </c>
    </row>
    <row r="107" spans="2:7" ht="27.6" outlineLevel="3" x14ac:dyDescent="0.3">
      <c r="B107" s="17" t="s">
        <v>147</v>
      </c>
      <c r="C107" s="16" t="s">
        <v>148</v>
      </c>
      <c r="D107" s="27">
        <f>421.65</f>
        <v>421.65</v>
      </c>
      <c r="E107" s="18" t="s">
        <v>10</v>
      </c>
      <c r="F107" s="19"/>
      <c r="G107" s="28">
        <f t="shared" si="2"/>
        <v>0</v>
      </c>
    </row>
    <row r="108" spans="2:7" ht="41.4" outlineLevel="3" x14ac:dyDescent="0.3">
      <c r="B108" s="17" t="s">
        <v>149</v>
      </c>
      <c r="C108" s="16" t="s">
        <v>150</v>
      </c>
      <c r="D108" s="27">
        <f>56.38</f>
        <v>56.38</v>
      </c>
      <c r="E108" s="18" t="s">
        <v>10</v>
      </c>
      <c r="F108" s="19"/>
      <c r="G108" s="28">
        <f t="shared" si="2"/>
        <v>0</v>
      </c>
    </row>
    <row r="109" spans="2:7" outlineLevel="3" x14ac:dyDescent="0.3">
      <c r="B109" s="17" t="s">
        <v>151</v>
      </c>
      <c r="C109" s="16" t="s">
        <v>116</v>
      </c>
      <c r="D109" s="27">
        <f>96.85</f>
        <v>96.85</v>
      </c>
      <c r="E109" s="18" t="s">
        <v>28</v>
      </c>
      <c r="F109" s="19"/>
      <c r="G109" s="28">
        <f t="shared" si="2"/>
        <v>0</v>
      </c>
    </row>
    <row r="110" spans="2:7" ht="41.4" outlineLevel="3" x14ac:dyDescent="0.3">
      <c r="B110" s="17" t="s">
        <v>152</v>
      </c>
      <c r="C110" s="16" t="s">
        <v>153</v>
      </c>
      <c r="D110" s="27">
        <f>0.49</f>
        <v>0.49</v>
      </c>
      <c r="E110" s="18" t="s">
        <v>13</v>
      </c>
      <c r="F110" s="19"/>
      <c r="G110" s="28">
        <f t="shared" si="2"/>
        <v>0</v>
      </c>
    </row>
    <row r="111" spans="2:7" ht="41.4" outlineLevel="3" x14ac:dyDescent="0.3">
      <c r="B111" s="17" t="s">
        <v>154</v>
      </c>
      <c r="C111" s="16" t="s">
        <v>155</v>
      </c>
      <c r="D111" s="27">
        <f>(130.39-35.99)*2</f>
        <v>188.79999999999995</v>
      </c>
      <c r="E111" s="18" t="s">
        <v>28</v>
      </c>
      <c r="F111" s="19"/>
      <c r="G111" s="28">
        <f t="shared" si="2"/>
        <v>0</v>
      </c>
    </row>
    <row r="112" spans="2:7" ht="55.2" outlineLevel="3" x14ac:dyDescent="0.3">
      <c r="B112" s="17" t="s">
        <v>156</v>
      </c>
      <c r="C112" s="16" t="s">
        <v>122</v>
      </c>
      <c r="D112" s="27">
        <f>130.39*4</f>
        <v>521.55999999999995</v>
      </c>
      <c r="E112" s="18" t="s">
        <v>28</v>
      </c>
      <c r="F112" s="19"/>
      <c r="G112" s="28">
        <f t="shared" si="2"/>
        <v>0</v>
      </c>
    </row>
    <row r="113" spans="2:7" ht="41.4" outlineLevel="3" x14ac:dyDescent="0.3">
      <c r="B113" s="17" t="s">
        <v>157</v>
      </c>
      <c r="C113" s="16" t="s">
        <v>158</v>
      </c>
      <c r="D113" s="27">
        <f>0.3*3.84*2</f>
        <v>2.3039999999999998</v>
      </c>
      <c r="E113" s="18" t="s">
        <v>10</v>
      </c>
      <c r="F113" s="19"/>
      <c r="G113" s="28">
        <f t="shared" si="2"/>
        <v>0</v>
      </c>
    </row>
    <row r="114" spans="2:7" ht="55.2" outlineLevel="3" x14ac:dyDescent="0.3">
      <c r="B114" s="17" t="s">
        <v>159</v>
      </c>
      <c r="C114" s="16" t="s">
        <v>160</v>
      </c>
      <c r="D114" s="27">
        <f>2.43*2</f>
        <v>4.8600000000000003</v>
      </c>
      <c r="E114" s="18" t="s">
        <v>28</v>
      </c>
      <c r="F114" s="19"/>
      <c r="G114" s="28">
        <f t="shared" si="2"/>
        <v>0</v>
      </c>
    </row>
    <row r="115" spans="2:7" ht="55.2" outlineLevel="3" x14ac:dyDescent="0.3">
      <c r="B115" s="17" t="s">
        <v>161</v>
      </c>
      <c r="C115" s="16" t="s">
        <v>162</v>
      </c>
      <c r="D115" s="27">
        <f>5*0.2*0.35*1.4</f>
        <v>0.48999999999999994</v>
      </c>
      <c r="E115" s="18" t="s">
        <v>13</v>
      </c>
      <c r="F115" s="19"/>
      <c r="G115" s="28">
        <f t="shared" si="2"/>
        <v>0</v>
      </c>
    </row>
    <row r="116" spans="2:7" ht="41.4" outlineLevel="3" x14ac:dyDescent="0.3">
      <c r="B116" s="17" t="s">
        <v>163</v>
      </c>
      <c r="C116" s="16" t="s">
        <v>164</v>
      </c>
      <c r="D116" s="27">
        <f>(10+13.75+15.53)*1.5</f>
        <v>58.92</v>
      </c>
      <c r="E116" s="18" t="s">
        <v>10</v>
      </c>
      <c r="F116" s="19"/>
      <c r="G116" s="28">
        <f t="shared" si="2"/>
        <v>0</v>
      </c>
    </row>
    <row r="117" spans="2:7" outlineLevel="2" x14ac:dyDescent="0.3">
      <c r="B117" s="21" t="s">
        <v>165</v>
      </c>
      <c r="C117" s="22" t="s">
        <v>166</v>
      </c>
      <c r="D117" s="23"/>
      <c r="E117" s="24"/>
      <c r="F117" s="25"/>
      <c r="G117" s="26">
        <f>+SUBTOTAL(9,G118:G132)</f>
        <v>0</v>
      </c>
    </row>
    <row r="118" spans="2:7" ht="55.2" outlineLevel="3" x14ac:dyDescent="0.3">
      <c r="B118" s="17" t="s">
        <v>167</v>
      </c>
      <c r="C118" s="16" t="s">
        <v>138</v>
      </c>
      <c r="D118" s="27">
        <f>87.25</f>
        <v>87.25</v>
      </c>
      <c r="E118" s="18" t="s">
        <v>10</v>
      </c>
      <c r="F118" s="19"/>
      <c r="G118" s="28">
        <f t="shared" si="2"/>
        <v>0</v>
      </c>
    </row>
    <row r="119" spans="2:7" ht="41.4" outlineLevel="3" x14ac:dyDescent="0.3">
      <c r="B119" s="17" t="s">
        <v>168</v>
      </c>
      <c r="C119" s="16" t="s">
        <v>140</v>
      </c>
      <c r="D119" s="27">
        <f>1.22</f>
        <v>1.22</v>
      </c>
      <c r="E119" s="18" t="s">
        <v>13</v>
      </c>
      <c r="F119" s="19"/>
      <c r="G119" s="28">
        <f t="shared" si="2"/>
        <v>0</v>
      </c>
    </row>
    <row r="120" spans="2:7" ht="41.4" outlineLevel="3" x14ac:dyDescent="0.3">
      <c r="B120" s="17" t="s">
        <v>169</v>
      </c>
      <c r="C120" s="16" t="s">
        <v>142</v>
      </c>
      <c r="D120" s="27">
        <f>2.05</f>
        <v>2.0499999999999998</v>
      </c>
      <c r="E120" s="18" t="s">
        <v>13</v>
      </c>
      <c r="F120" s="19"/>
      <c r="G120" s="28">
        <f t="shared" si="2"/>
        <v>0</v>
      </c>
    </row>
    <row r="121" spans="2:7" ht="27.6" outlineLevel="3" x14ac:dyDescent="0.3">
      <c r="B121" s="17" t="s">
        <v>170</v>
      </c>
      <c r="C121" s="16" t="s">
        <v>144</v>
      </c>
      <c r="D121" s="27">
        <f>54.05</f>
        <v>54.05</v>
      </c>
      <c r="E121" s="18" t="s">
        <v>10</v>
      </c>
      <c r="F121" s="19"/>
      <c r="G121" s="28">
        <f t="shared" si="2"/>
        <v>0</v>
      </c>
    </row>
    <row r="122" spans="2:7" ht="27.6" outlineLevel="3" x14ac:dyDescent="0.3">
      <c r="B122" s="17" t="s">
        <v>171</v>
      </c>
      <c r="C122" s="16" t="s">
        <v>172</v>
      </c>
      <c r="D122" s="27">
        <f>54.05</f>
        <v>54.05</v>
      </c>
      <c r="E122" s="18" t="s">
        <v>10</v>
      </c>
      <c r="F122" s="19"/>
      <c r="G122" s="28">
        <f t="shared" si="2"/>
        <v>0</v>
      </c>
    </row>
    <row r="123" spans="2:7" ht="27.6" outlineLevel="3" x14ac:dyDescent="0.3">
      <c r="B123" s="17" t="s">
        <v>173</v>
      </c>
      <c r="C123" s="16" t="s">
        <v>148</v>
      </c>
      <c r="D123" s="27">
        <f>395.4</f>
        <v>395.4</v>
      </c>
      <c r="E123" s="18" t="s">
        <v>10</v>
      </c>
      <c r="F123" s="19"/>
      <c r="G123" s="28">
        <f t="shared" si="2"/>
        <v>0</v>
      </c>
    </row>
    <row r="124" spans="2:7" ht="41.4" outlineLevel="3" x14ac:dyDescent="0.3">
      <c r="B124" s="17" t="s">
        <v>174</v>
      </c>
      <c r="C124" s="16" t="s">
        <v>175</v>
      </c>
      <c r="D124" s="27">
        <f>56.38</f>
        <v>56.38</v>
      </c>
      <c r="E124" s="18" t="s">
        <v>10</v>
      </c>
      <c r="F124" s="19"/>
      <c r="G124" s="28">
        <f t="shared" si="2"/>
        <v>0</v>
      </c>
    </row>
    <row r="125" spans="2:7" outlineLevel="3" x14ac:dyDescent="0.3">
      <c r="B125" s="17" t="s">
        <v>176</v>
      </c>
      <c r="C125" s="16" t="s">
        <v>116</v>
      </c>
      <c r="D125" s="27">
        <f>91.75</f>
        <v>91.75</v>
      </c>
      <c r="E125" s="18" t="s">
        <v>28</v>
      </c>
      <c r="F125" s="19"/>
      <c r="G125" s="28">
        <f t="shared" si="2"/>
        <v>0</v>
      </c>
    </row>
    <row r="126" spans="2:7" ht="41.4" outlineLevel="3" x14ac:dyDescent="0.3">
      <c r="B126" s="17" t="s">
        <v>177</v>
      </c>
      <c r="C126" s="16" t="s">
        <v>153</v>
      </c>
      <c r="D126" s="27">
        <f>0.49</f>
        <v>0.49</v>
      </c>
      <c r="E126" s="18" t="s">
        <v>13</v>
      </c>
      <c r="F126" s="19"/>
      <c r="G126" s="28">
        <f t="shared" si="2"/>
        <v>0</v>
      </c>
    </row>
    <row r="127" spans="2:7" ht="41.4" outlineLevel="3" x14ac:dyDescent="0.3">
      <c r="B127" s="17" t="s">
        <v>178</v>
      </c>
      <c r="C127" s="16" t="s">
        <v>155</v>
      </c>
      <c r="D127" s="27">
        <f>(110.72-26.4)*2</f>
        <v>168.64</v>
      </c>
      <c r="E127" s="18" t="s">
        <v>28</v>
      </c>
      <c r="F127" s="19"/>
      <c r="G127" s="28">
        <f t="shared" si="2"/>
        <v>0</v>
      </c>
    </row>
    <row r="128" spans="2:7" ht="55.2" outlineLevel="3" x14ac:dyDescent="0.3">
      <c r="B128" s="17" t="s">
        <v>179</v>
      </c>
      <c r="C128" s="16" t="s">
        <v>122</v>
      </c>
      <c r="D128" s="27">
        <f>110.72*4</f>
        <v>442.88</v>
      </c>
      <c r="E128" s="18" t="s">
        <v>28</v>
      </c>
      <c r="F128" s="19"/>
      <c r="G128" s="28">
        <f t="shared" si="2"/>
        <v>0</v>
      </c>
    </row>
    <row r="129" spans="2:7" ht="41.4" outlineLevel="3" x14ac:dyDescent="0.3">
      <c r="B129" s="17" t="s">
        <v>180</v>
      </c>
      <c r="C129" s="16" t="s">
        <v>158</v>
      </c>
      <c r="D129" s="27">
        <f>0.3*3.84*2</f>
        <v>2.3039999999999998</v>
      </c>
      <c r="E129" s="18" t="s">
        <v>10</v>
      </c>
      <c r="F129" s="19"/>
      <c r="G129" s="28">
        <f t="shared" si="2"/>
        <v>0</v>
      </c>
    </row>
    <row r="130" spans="2:7" ht="55.2" outlineLevel="3" x14ac:dyDescent="0.3">
      <c r="B130" s="17" t="s">
        <v>181</v>
      </c>
      <c r="C130" s="16" t="s">
        <v>160</v>
      </c>
      <c r="D130" s="27">
        <f>2.43*2</f>
        <v>4.8600000000000003</v>
      </c>
      <c r="E130" s="18" t="s">
        <v>28</v>
      </c>
      <c r="F130" s="19"/>
      <c r="G130" s="28">
        <f t="shared" si="2"/>
        <v>0</v>
      </c>
    </row>
    <row r="131" spans="2:7" ht="55.2" outlineLevel="3" x14ac:dyDescent="0.3">
      <c r="B131" s="17" t="s">
        <v>182</v>
      </c>
      <c r="C131" s="16" t="s">
        <v>183</v>
      </c>
      <c r="D131" s="27">
        <f>5*0.2*0.35*1.4</f>
        <v>0.48999999999999994</v>
      </c>
      <c r="E131" s="18" t="s">
        <v>13</v>
      </c>
      <c r="F131" s="19"/>
      <c r="G131" s="28">
        <f t="shared" si="2"/>
        <v>0</v>
      </c>
    </row>
    <row r="132" spans="2:7" ht="41.4" outlineLevel="3" x14ac:dyDescent="0.3">
      <c r="B132" s="17" t="s">
        <v>184</v>
      </c>
      <c r="C132" s="16" t="s">
        <v>164</v>
      </c>
      <c r="D132" s="27">
        <f>(10+13.75+15.53)*1.5</f>
        <v>58.92</v>
      </c>
      <c r="E132" s="18" t="s">
        <v>10</v>
      </c>
      <c r="F132" s="19"/>
      <c r="G132" s="28">
        <f t="shared" si="2"/>
        <v>0</v>
      </c>
    </row>
    <row r="133" spans="2:7" outlineLevel="2" x14ac:dyDescent="0.3">
      <c r="B133" s="21" t="s">
        <v>185</v>
      </c>
      <c r="C133" s="22" t="s">
        <v>186</v>
      </c>
      <c r="D133" s="23"/>
      <c r="E133" s="24"/>
      <c r="F133" s="25"/>
      <c r="G133" s="26">
        <f>+SUBTOTAL(9,G134:G148)</f>
        <v>0</v>
      </c>
    </row>
    <row r="134" spans="2:7" ht="55.2" outlineLevel="3" x14ac:dyDescent="0.3">
      <c r="B134" s="17" t="s">
        <v>187</v>
      </c>
      <c r="C134" s="16" t="s">
        <v>138</v>
      </c>
      <c r="D134" s="27">
        <f>107.29</f>
        <v>107.29</v>
      </c>
      <c r="E134" s="18" t="s">
        <v>10</v>
      </c>
      <c r="F134" s="19"/>
      <c r="G134" s="28">
        <f t="shared" si="2"/>
        <v>0</v>
      </c>
    </row>
    <row r="135" spans="2:7" ht="41.4" outlineLevel="3" x14ac:dyDescent="0.3">
      <c r="B135" s="17" t="s">
        <v>188</v>
      </c>
      <c r="C135" s="16" t="s">
        <v>140</v>
      </c>
      <c r="D135" s="27">
        <f>1.52</f>
        <v>1.52</v>
      </c>
      <c r="E135" s="18" t="s">
        <v>13</v>
      </c>
      <c r="F135" s="19"/>
      <c r="G135" s="28">
        <f t="shared" si="2"/>
        <v>0</v>
      </c>
    </row>
    <row r="136" spans="2:7" ht="41.4" outlineLevel="3" x14ac:dyDescent="0.3">
      <c r="B136" s="17" t="s">
        <v>189</v>
      </c>
      <c r="C136" s="16" t="s">
        <v>142</v>
      </c>
      <c r="D136" s="27">
        <f>3.1</f>
        <v>3.1</v>
      </c>
      <c r="E136" s="18" t="s">
        <v>13</v>
      </c>
      <c r="F136" s="19"/>
      <c r="G136" s="28">
        <f t="shared" si="2"/>
        <v>0</v>
      </c>
    </row>
    <row r="137" spans="2:7" ht="27.6" outlineLevel="3" x14ac:dyDescent="0.3">
      <c r="B137" s="17" t="s">
        <v>190</v>
      </c>
      <c r="C137" s="16" t="s">
        <v>144</v>
      </c>
      <c r="D137" s="27">
        <f>54.05</f>
        <v>54.05</v>
      </c>
      <c r="E137" s="18" t="s">
        <v>10</v>
      </c>
      <c r="F137" s="19"/>
      <c r="G137" s="28">
        <f t="shared" si="2"/>
        <v>0</v>
      </c>
    </row>
    <row r="138" spans="2:7" ht="27.6" outlineLevel="3" x14ac:dyDescent="0.3">
      <c r="B138" s="17" t="s">
        <v>191</v>
      </c>
      <c r="C138" s="16" t="s">
        <v>146</v>
      </c>
      <c r="D138" s="27">
        <f>54.05</f>
        <v>54.05</v>
      </c>
      <c r="E138" s="18" t="s">
        <v>10</v>
      </c>
      <c r="F138" s="19"/>
      <c r="G138" s="28">
        <f t="shared" si="2"/>
        <v>0</v>
      </c>
    </row>
    <row r="139" spans="2:7" ht="27.6" outlineLevel="3" x14ac:dyDescent="0.3">
      <c r="B139" s="17" t="s">
        <v>192</v>
      </c>
      <c r="C139" s="16" t="s">
        <v>148</v>
      </c>
      <c r="D139" s="27">
        <f>395.4</f>
        <v>395.4</v>
      </c>
      <c r="E139" s="18" t="s">
        <v>10</v>
      </c>
      <c r="F139" s="19"/>
      <c r="G139" s="28">
        <f t="shared" si="2"/>
        <v>0</v>
      </c>
    </row>
    <row r="140" spans="2:7" ht="41.4" outlineLevel="3" x14ac:dyDescent="0.3">
      <c r="B140" s="17" t="s">
        <v>193</v>
      </c>
      <c r="C140" s="16" t="s">
        <v>175</v>
      </c>
      <c r="D140" s="27">
        <f>56.38</f>
        <v>56.38</v>
      </c>
      <c r="E140" s="18" t="s">
        <v>10</v>
      </c>
      <c r="F140" s="19"/>
      <c r="G140" s="28">
        <f t="shared" si="2"/>
        <v>0</v>
      </c>
    </row>
    <row r="141" spans="2:7" outlineLevel="3" x14ac:dyDescent="0.3">
      <c r="B141" s="17" t="s">
        <v>194</v>
      </c>
      <c r="C141" s="16" t="s">
        <v>116</v>
      </c>
      <c r="D141" s="27">
        <f>91.75</f>
        <v>91.75</v>
      </c>
      <c r="E141" s="18" t="s">
        <v>28</v>
      </c>
      <c r="F141" s="19"/>
      <c r="G141" s="28">
        <f t="shared" si="2"/>
        <v>0</v>
      </c>
    </row>
    <row r="142" spans="2:7" ht="41.4" outlineLevel="3" x14ac:dyDescent="0.3">
      <c r="B142" s="17" t="s">
        <v>195</v>
      </c>
      <c r="C142" s="16" t="s">
        <v>153</v>
      </c>
      <c r="D142" s="27">
        <f>0.49</f>
        <v>0.49</v>
      </c>
      <c r="E142" s="18" t="s">
        <v>13</v>
      </c>
      <c r="F142" s="19"/>
      <c r="G142" s="28">
        <f t="shared" si="2"/>
        <v>0</v>
      </c>
    </row>
    <row r="143" spans="2:7" ht="41.4" outlineLevel="3" x14ac:dyDescent="0.3">
      <c r="B143" s="17" t="s">
        <v>196</v>
      </c>
      <c r="C143" s="16" t="s">
        <v>155</v>
      </c>
      <c r="D143" s="27">
        <f>(110.72-23.8)*2</f>
        <v>173.84</v>
      </c>
      <c r="E143" s="18" t="s">
        <v>28</v>
      </c>
      <c r="F143" s="19"/>
      <c r="G143" s="28">
        <f t="shared" si="2"/>
        <v>0</v>
      </c>
    </row>
    <row r="144" spans="2:7" ht="55.2" outlineLevel="3" x14ac:dyDescent="0.3">
      <c r="B144" s="17" t="s">
        <v>197</v>
      </c>
      <c r="C144" s="16" t="s">
        <v>122</v>
      </c>
      <c r="D144" s="27">
        <f>110.72*4</f>
        <v>442.88</v>
      </c>
      <c r="E144" s="18" t="s">
        <v>28</v>
      </c>
      <c r="F144" s="19"/>
      <c r="G144" s="28">
        <f t="shared" si="2"/>
        <v>0</v>
      </c>
    </row>
    <row r="145" spans="2:7" ht="41.4" outlineLevel="3" x14ac:dyDescent="0.3">
      <c r="B145" s="17" t="s">
        <v>198</v>
      </c>
      <c r="C145" s="16" t="s">
        <v>158</v>
      </c>
      <c r="D145" s="27">
        <f>0.3*3.84*2</f>
        <v>2.3039999999999998</v>
      </c>
      <c r="E145" s="18" t="s">
        <v>10</v>
      </c>
      <c r="F145" s="19"/>
      <c r="G145" s="28">
        <f t="shared" si="2"/>
        <v>0</v>
      </c>
    </row>
    <row r="146" spans="2:7" ht="55.2" outlineLevel="3" x14ac:dyDescent="0.3">
      <c r="B146" s="17" t="s">
        <v>199</v>
      </c>
      <c r="C146" s="16" t="s">
        <v>160</v>
      </c>
      <c r="D146" s="27">
        <f>2.43*2</f>
        <v>4.8600000000000003</v>
      </c>
      <c r="E146" s="18" t="s">
        <v>28</v>
      </c>
      <c r="F146" s="19"/>
      <c r="G146" s="28">
        <f t="shared" si="2"/>
        <v>0</v>
      </c>
    </row>
    <row r="147" spans="2:7" ht="55.2" outlineLevel="3" x14ac:dyDescent="0.3">
      <c r="B147" s="17" t="s">
        <v>200</v>
      </c>
      <c r="C147" s="16" t="s">
        <v>183</v>
      </c>
      <c r="D147" s="27">
        <f>5*0.2*0.35*1.4</f>
        <v>0.48999999999999994</v>
      </c>
      <c r="E147" s="18" t="s">
        <v>13</v>
      </c>
      <c r="F147" s="19"/>
      <c r="G147" s="28">
        <f t="shared" si="2"/>
        <v>0</v>
      </c>
    </row>
    <row r="148" spans="2:7" ht="41.4" outlineLevel="3" x14ac:dyDescent="0.3">
      <c r="B148" s="17" t="s">
        <v>201</v>
      </c>
      <c r="C148" s="16" t="s">
        <v>164</v>
      </c>
      <c r="D148" s="27">
        <f>(10+13.75+15.53)*1.5</f>
        <v>58.92</v>
      </c>
      <c r="E148" s="18" t="s">
        <v>10</v>
      </c>
      <c r="F148" s="19"/>
      <c r="G148" s="28">
        <f t="shared" si="2"/>
        <v>0</v>
      </c>
    </row>
    <row r="149" spans="2:7" outlineLevel="2" x14ac:dyDescent="0.3">
      <c r="B149" s="21" t="s">
        <v>202</v>
      </c>
      <c r="C149" s="22" t="s">
        <v>203</v>
      </c>
      <c r="D149" s="23"/>
      <c r="E149" s="24"/>
      <c r="F149" s="25"/>
      <c r="G149" s="26">
        <f>+SUBTOTAL(9,G150:G165)</f>
        <v>0</v>
      </c>
    </row>
    <row r="150" spans="2:7" ht="55.2" outlineLevel="3" x14ac:dyDescent="0.3">
      <c r="B150" s="17" t="s">
        <v>204</v>
      </c>
      <c r="C150" s="16" t="s">
        <v>138</v>
      </c>
      <c r="D150" s="27">
        <f>162.1</f>
        <v>162.1</v>
      </c>
      <c r="E150" s="18" t="s">
        <v>10</v>
      </c>
      <c r="F150" s="19"/>
      <c r="G150" s="28">
        <f t="shared" si="2"/>
        <v>0</v>
      </c>
    </row>
    <row r="151" spans="2:7" ht="41.4" outlineLevel="3" x14ac:dyDescent="0.3">
      <c r="B151" s="17" t="s">
        <v>205</v>
      </c>
      <c r="C151" s="16" t="s">
        <v>140</v>
      </c>
      <c r="D151" s="27">
        <f>1.82</f>
        <v>1.82</v>
      </c>
      <c r="E151" s="18" t="s">
        <v>13</v>
      </c>
      <c r="F151" s="19"/>
      <c r="G151" s="28">
        <f t="shared" si="2"/>
        <v>0</v>
      </c>
    </row>
    <row r="152" spans="2:7" ht="41.4" outlineLevel="3" x14ac:dyDescent="0.3">
      <c r="B152" s="17" t="s">
        <v>206</v>
      </c>
      <c r="C152" s="16" t="s">
        <v>142</v>
      </c>
      <c r="D152" s="27">
        <f>3.1</f>
        <v>3.1</v>
      </c>
      <c r="E152" s="18" t="s">
        <v>13</v>
      </c>
      <c r="F152" s="19"/>
      <c r="G152" s="28">
        <f t="shared" si="2"/>
        <v>0</v>
      </c>
    </row>
    <row r="153" spans="2:7" ht="27.6" outlineLevel="3" x14ac:dyDescent="0.3">
      <c r="B153" s="17" t="s">
        <v>207</v>
      </c>
      <c r="C153" s="16" t="s">
        <v>144</v>
      </c>
      <c r="D153" s="27">
        <f>54.05</f>
        <v>54.05</v>
      </c>
      <c r="E153" s="18" t="s">
        <v>10</v>
      </c>
      <c r="F153" s="19"/>
      <c r="G153" s="28">
        <f t="shared" si="2"/>
        <v>0</v>
      </c>
    </row>
    <row r="154" spans="2:7" ht="27.6" outlineLevel="3" x14ac:dyDescent="0.3">
      <c r="B154" s="17" t="s">
        <v>208</v>
      </c>
      <c r="C154" s="16" t="s">
        <v>146</v>
      </c>
      <c r="D154" s="27">
        <f>54.05</f>
        <v>54.05</v>
      </c>
      <c r="E154" s="18" t="s">
        <v>10</v>
      </c>
      <c r="F154" s="19"/>
      <c r="G154" s="28">
        <f t="shared" si="2"/>
        <v>0</v>
      </c>
    </row>
    <row r="155" spans="2:7" ht="27.6" outlineLevel="3" x14ac:dyDescent="0.3">
      <c r="B155" s="17" t="s">
        <v>209</v>
      </c>
      <c r="C155" s="16" t="s">
        <v>148</v>
      </c>
      <c r="D155" s="27">
        <f>395.4</f>
        <v>395.4</v>
      </c>
      <c r="E155" s="18" t="s">
        <v>10</v>
      </c>
      <c r="F155" s="19"/>
      <c r="G155" s="28">
        <f t="shared" si="2"/>
        <v>0</v>
      </c>
    </row>
    <row r="156" spans="2:7" ht="41.4" outlineLevel="3" x14ac:dyDescent="0.3">
      <c r="B156" s="17" t="s">
        <v>210</v>
      </c>
      <c r="C156" s="16" t="s">
        <v>175</v>
      </c>
      <c r="D156" s="27">
        <f>56.38</f>
        <v>56.38</v>
      </c>
      <c r="E156" s="18" t="s">
        <v>10</v>
      </c>
      <c r="F156" s="19"/>
      <c r="G156" s="28">
        <f t="shared" si="2"/>
        <v>0</v>
      </c>
    </row>
    <row r="157" spans="2:7" outlineLevel="3" x14ac:dyDescent="0.3">
      <c r="B157" s="17" t="s">
        <v>211</v>
      </c>
      <c r="C157" s="16" t="s">
        <v>212</v>
      </c>
      <c r="D157" s="27">
        <f>251</f>
        <v>251</v>
      </c>
      <c r="E157" s="18" t="s">
        <v>10</v>
      </c>
      <c r="F157" s="19"/>
      <c r="G157" s="28">
        <f t="shared" si="2"/>
        <v>0</v>
      </c>
    </row>
    <row r="158" spans="2:7" outlineLevel="3" x14ac:dyDescent="0.3">
      <c r="B158" s="17" t="s">
        <v>213</v>
      </c>
      <c r="C158" s="16" t="s">
        <v>116</v>
      </c>
      <c r="D158" s="27">
        <f>91.75</f>
        <v>91.75</v>
      </c>
      <c r="E158" s="18" t="s">
        <v>28</v>
      </c>
      <c r="F158" s="19"/>
      <c r="G158" s="28">
        <f t="shared" si="2"/>
        <v>0</v>
      </c>
    </row>
    <row r="159" spans="2:7" ht="41.4" outlineLevel="3" x14ac:dyDescent="0.3">
      <c r="B159" s="17" t="s">
        <v>214</v>
      </c>
      <c r="C159" s="16" t="s">
        <v>153</v>
      </c>
      <c r="D159" s="27">
        <f>0.49</f>
        <v>0.49</v>
      </c>
      <c r="E159" s="18" t="s">
        <v>13</v>
      </c>
      <c r="F159" s="19"/>
      <c r="G159" s="28">
        <f t="shared" si="2"/>
        <v>0</v>
      </c>
    </row>
    <row r="160" spans="2:7" ht="41.4" outlineLevel="3" x14ac:dyDescent="0.3">
      <c r="B160" s="17" t="s">
        <v>215</v>
      </c>
      <c r="C160" s="16" t="s">
        <v>155</v>
      </c>
      <c r="D160" s="27">
        <f>110.72*2</f>
        <v>221.44</v>
      </c>
      <c r="E160" s="18" t="s">
        <v>28</v>
      </c>
      <c r="F160" s="19"/>
      <c r="G160" s="28">
        <f t="shared" si="2"/>
        <v>0</v>
      </c>
    </row>
    <row r="161" spans="2:7" ht="55.2" outlineLevel="3" x14ac:dyDescent="0.3">
      <c r="B161" s="17" t="s">
        <v>216</v>
      </c>
      <c r="C161" s="16" t="s">
        <v>122</v>
      </c>
      <c r="D161" s="27">
        <f>110.72*4</f>
        <v>442.88</v>
      </c>
      <c r="E161" s="18" t="s">
        <v>28</v>
      </c>
      <c r="F161" s="19"/>
      <c r="G161" s="28">
        <f t="shared" si="2"/>
        <v>0</v>
      </c>
    </row>
    <row r="162" spans="2:7" ht="41.4" outlineLevel="3" x14ac:dyDescent="0.3">
      <c r="B162" s="17" t="s">
        <v>217</v>
      </c>
      <c r="C162" s="16" t="s">
        <v>158</v>
      </c>
      <c r="D162" s="27">
        <f>0.3*3.84*2</f>
        <v>2.3039999999999998</v>
      </c>
      <c r="E162" s="18" t="s">
        <v>10</v>
      </c>
      <c r="F162" s="19"/>
      <c r="G162" s="28">
        <f t="shared" si="2"/>
        <v>0</v>
      </c>
    </row>
    <row r="163" spans="2:7" ht="55.2" outlineLevel="3" x14ac:dyDescent="0.3">
      <c r="B163" s="17" t="s">
        <v>218</v>
      </c>
      <c r="C163" s="16" t="s">
        <v>160</v>
      </c>
      <c r="D163" s="27">
        <f>2.43*2</f>
        <v>4.8600000000000003</v>
      </c>
      <c r="E163" s="18" t="s">
        <v>28</v>
      </c>
      <c r="F163" s="19"/>
      <c r="G163" s="28">
        <f t="shared" si="2"/>
        <v>0</v>
      </c>
    </row>
    <row r="164" spans="2:7" ht="55.2" outlineLevel="3" x14ac:dyDescent="0.3">
      <c r="B164" s="17" t="s">
        <v>219</v>
      </c>
      <c r="C164" s="16" t="s">
        <v>162</v>
      </c>
      <c r="D164" s="27">
        <f>5*0.2*0.35*1.4</f>
        <v>0.48999999999999994</v>
      </c>
      <c r="E164" s="18" t="s">
        <v>13</v>
      </c>
      <c r="F164" s="19"/>
      <c r="G164" s="28">
        <f t="shared" si="2"/>
        <v>0</v>
      </c>
    </row>
    <row r="165" spans="2:7" ht="41.4" outlineLevel="3" x14ac:dyDescent="0.3">
      <c r="B165" s="17" t="s">
        <v>220</v>
      </c>
      <c r="C165" s="16" t="s">
        <v>164</v>
      </c>
      <c r="D165" s="27">
        <f>(10+13.75+15.53)*1.5</f>
        <v>58.92</v>
      </c>
      <c r="E165" s="18" t="s">
        <v>10</v>
      </c>
      <c r="F165" s="19"/>
      <c r="G165" s="28">
        <f t="shared" si="2"/>
        <v>0</v>
      </c>
    </row>
    <row r="166" spans="2:7" outlineLevel="2" x14ac:dyDescent="0.3">
      <c r="B166" s="21" t="s">
        <v>221</v>
      </c>
      <c r="C166" s="22" t="s">
        <v>222</v>
      </c>
      <c r="D166" s="23"/>
      <c r="E166" s="24"/>
      <c r="F166" s="25"/>
      <c r="G166" s="26">
        <f>+SUBTOTAL(9,G167:G181)</f>
        <v>0</v>
      </c>
    </row>
    <row r="167" spans="2:7" ht="55.2" outlineLevel="3" x14ac:dyDescent="0.3">
      <c r="B167" s="17" t="s">
        <v>223</v>
      </c>
      <c r="C167" s="16" t="s">
        <v>138</v>
      </c>
      <c r="D167" s="27">
        <f>166.51</f>
        <v>166.51</v>
      </c>
      <c r="E167" s="18" t="s">
        <v>10</v>
      </c>
      <c r="F167" s="19"/>
      <c r="G167" s="28">
        <f t="shared" si="2"/>
        <v>0</v>
      </c>
    </row>
    <row r="168" spans="2:7" ht="41.4" outlineLevel="3" x14ac:dyDescent="0.3">
      <c r="B168" s="17" t="s">
        <v>224</v>
      </c>
      <c r="C168" s="16" t="s">
        <v>140</v>
      </c>
      <c r="D168" s="27">
        <f>1.82</f>
        <v>1.82</v>
      </c>
      <c r="E168" s="18" t="s">
        <v>13</v>
      </c>
      <c r="F168" s="19"/>
      <c r="G168" s="28">
        <f t="shared" ref="G168:G181" si="3">ROUNDUP(D168*F168,2)</f>
        <v>0</v>
      </c>
    </row>
    <row r="169" spans="2:7" ht="41.4" outlineLevel="3" x14ac:dyDescent="0.3">
      <c r="B169" s="17" t="s">
        <v>225</v>
      </c>
      <c r="C169" s="16" t="s">
        <v>142</v>
      </c>
      <c r="D169" s="27">
        <f>3.1</f>
        <v>3.1</v>
      </c>
      <c r="E169" s="18" t="s">
        <v>13</v>
      </c>
      <c r="F169" s="19"/>
      <c r="G169" s="28">
        <f t="shared" si="3"/>
        <v>0</v>
      </c>
    </row>
    <row r="170" spans="2:7" ht="27.6" outlineLevel="3" x14ac:dyDescent="0.3">
      <c r="B170" s="17" t="s">
        <v>226</v>
      </c>
      <c r="C170" s="16" t="s">
        <v>144</v>
      </c>
      <c r="D170" s="27">
        <f>54.05</f>
        <v>54.05</v>
      </c>
      <c r="E170" s="18" t="s">
        <v>10</v>
      </c>
      <c r="F170" s="19"/>
      <c r="G170" s="28">
        <f t="shared" si="3"/>
        <v>0</v>
      </c>
    </row>
    <row r="171" spans="2:7" ht="27.6" outlineLevel="3" x14ac:dyDescent="0.3">
      <c r="B171" s="17" t="s">
        <v>227</v>
      </c>
      <c r="C171" s="16" t="s">
        <v>146</v>
      </c>
      <c r="D171" s="27">
        <f>54.05</f>
        <v>54.05</v>
      </c>
      <c r="E171" s="18" t="s">
        <v>10</v>
      </c>
      <c r="F171" s="19"/>
      <c r="G171" s="28">
        <f t="shared" si="3"/>
        <v>0</v>
      </c>
    </row>
    <row r="172" spans="2:7" ht="27.6" outlineLevel="3" x14ac:dyDescent="0.3">
      <c r="B172" s="17" t="s">
        <v>228</v>
      </c>
      <c r="C172" s="16" t="s">
        <v>148</v>
      </c>
      <c r="D172" s="27">
        <f>395.4</f>
        <v>395.4</v>
      </c>
      <c r="E172" s="18" t="s">
        <v>10</v>
      </c>
      <c r="F172" s="19"/>
      <c r="G172" s="28">
        <f t="shared" si="3"/>
        <v>0</v>
      </c>
    </row>
    <row r="173" spans="2:7" ht="41.4" outlineLevel="3" x14ac:dyDescent="0.3">
      <c r="B173" s="17" t="s">
        <v>229</v>
      </c>
      <c r="C173" s="16" t="s">
        <v>175</v>
      </c>
      <c r="D173" s="27">
        <f>56.38</f>
        <v>56.38</v>
      </c>
      <c r="E173" s="18" t="s">
        <v>10</v>
      </c>
      <c r="F173" s="19"/>
      <c r="G173" s="28">
        <f t="shared" si="3"/>
        <v>0</v>
      </c>
    </row>
    <row r="174" spans="2:7" outlineLevel="3" x14ac:dyDescent="0.3">
      <c r="B174" s="17" t="s">
        <v>230</v>
      </c>
      <c r="C174" s="16" t="s">
        <v>116</v>
      </c>
      <c r="D174" s="27">
        <f>91.75</f>
        <v>91.75</v>
      </c>
      <c r="E174" s="18" t="s">
        <v>28</v>
      </c>
      <c r="F174" s="19"/>
      <c r="G174" s="28">
        <f t="shared" si="3"/>
        <v>0</v>
      </c>
    </row>
    <row r="175" spans="2:7" ht="41.4" outlineLevel="3" x14ac:dyDescent="0.3">
      <c r="B175" s="17" t="s">
        <v>231</v>
      </c>
      <c r="C175" s="16" t="s">
        <v>153</v>
      </c>
      <c r="D175" s="27">
        <f>0.49</f>
        <v>0.49</v>
      </c>
      <c r="E175" s="18" t="s">
        <v>13</v>
      </c>
      <c r="F175" s="19"/>
      <c r="G175" s="28">
        <f t="shared" si="3"/>
        <v>0</v>
      </c>
    </row>
    <row r="176" spans="2:7" ht="41.4" outlineLevel="3" x14ac:dyDescent="0.3">
      <c r="B176" s="17" t="s">
        <v>232</v>
      </c>
      <c r="C176" s="16" t="s">
        <v>155</v>
      </c>
      <c r="D176" s="27">
        <f>110.72*2</f>
        <v>221.44</v>
      </c>
      <c r="E176" s="18" t="s">
        <v>28</v>
      </c>
      <c r="F176" s="19"/>
      <c r="G176" s="28">
        <f t="shared" si="3"/>
        <v>0</v>
      </c>
    </row>
    <row r="177" spans="2:7" ht="55.2" outlineLevel="3" x14ac:dyDescent="0.3">
      <c r="B177" s="17" t="s">
        <v>233</v>
      </c>
      <c r="C177" s="16" t="s">
        <v>122</v>
      </c>
      <c r="D177" s="27">
        <f>110.72*4</f>
        <v>442.88</v>
      </c>
      <c r="E177" s="18" t="s">
        <v>28</v>
      </c>
      <c r="F177" s="19"/>
      <c r="G177" s="28">
        <f t="shared" si="3"/>
        <v>0</v>
      </c>
    </row>
    <row r="178" spans="2:7" ht="41.4" outlineLevel="3" x14ac:dyDescent="0.3">
      <c r="B178" s="17" t="s">
        <v>234</v>
      </c>
      <c r="C178" s="16" t="s">
        <v>158</v>
      </c>
      <c r="D178" s="27">
        <f>0.3*3.84*2</f>
        <v>2.3039999999999998</v>
      </c>
      <c r="E178" s="18" t="s">
        <v>10</v>
      </c>
      <c r="F178" s="19"/>
      <c r="G178" s="28">
        <f t="shared" si="3"/>
        <v>0</v>
      </c>
    </row>
    <row r="179" spans="2:7" ht="55.2" outlineLevel="3" x14ac:dyDescent="0.3">
      <c r="B179" s="17" t="s">
        <v>235</v>
      </c>
      <c r="C179" s="16" t="s">
        <v>160</v>
      </c>
      <c r="D179" s="27">
        <f>2.43*2</f>
        <v>4.8600000000000003</v>
      </c>
      <c r="E179" s="18" t="s">
        <v>28</v>
      </c>
      <c r="F179" s="19"/>
      <c r="G179" s="28">
        <f t="shared" si="3"/>
        <v>0</v>
      </c>
    </row>
    <row r="180" spans="2:7" ht="55.2" outlineLevel="3" x14ac:dyDescent="0.3">
      <c r="B180" s="17" t="s">
        <v>236</v>
      </c>
      <c r="C180" s="16" t="s">
        <v>183</v>
      </c>
      <c r="D180" s="27">
        <f>5*0.2*0.35*1.4</f>
        <v>0.48999999999999994</v>
      </c>
      <c r="E180" s="18" t="s">
        <v>13</v>
      </c>
      <c r="F180" s="19"/>
      <c r="G180" s="28">
        <f t="shared" si="3"/>
        <v>0</v>
      </c>
    </row>
    <row r="181" spans="2:7" ht="41.4" outlineLevel="3" x14ac:dyDescent="0.3">
      <c r="B181" s="17" t="s">
        <v>237</v>
      </c>
      <c r="C181" s="16" t="s">
        <v>164</v>
      </c>
      <c r="D181" s="27">
        <f>(10+13.75+15.53)*1.5</f>
        <v>58.92</v>
      </c>
      <c r="E181" s="18" t="s">
        <v>10</v>
      </c>
      <c r="F181" s="19"/>
      <c r="G181" s="28">
        <f t="shared" si="3"/>
        <v>0</v>
      </c>
    </row>
    <row r="182" spans="2:7" outlineLevel="2" x14ac:dyDescent="0.3">
      <c r="B182" s="21" t="s">
        <v>238</v>
      </c>
      <c r="C182" s="22" t="s">
        <v>239</v>
      </c>
      <c r="D182" s="23"/>
      <c r="E182" s="24"/>
      <c r="F182" s="25"/>
      <c r="G182" s="26">
        <f>+SUBTOTAL(9,G183:G201)</f>
        <v>0</v>
      </c>
    </row>
    <row r="183" spans="2:7" ht="55.2" outlineLevel="3" x14ac:dyDescent="0.3">
      <c r="B183" s="17" t="s">
        <v>240</v>
      </c>
      <c r="C183" s="16" t="s">
        <v>138</v>
      </c>
      <c r="D183" s="27">
        <f>188.12</f>
        <v>188.12</v>
      </c>
      <c r="E183" s="18" t="s">
        <v>10</v>
      </c>
      <c r="F183" s="19"/>
      <c r="G183" s="28">
        <f t="shared" ref="G183:G202" si="4">ROUNDUP(D183*F183,2)</f>
        <v>0</v>
      </c>
    </row>
    <row r="184" spans="2:7" ht="41.4" outlineLevel="3" x14ac:dyDescent="0.3">
      <c r="B184" s="17" t="s">
        <v>241</v>
      </c>
      <c r="C184" s="16" t="s">
        <v>140</v>
      </c>
      <c r="D184" s="27">
        <f>1.87</f>
        <v>1.87</v>
      </c>
      <c r="E184" s="18" t="s">
        <v>13</v>
      </c>
      <c r="F184" s="19"/>
      <c r="G184" s="28">
        <f t="shared" si="4"/>
        <v>0</v>
      </c>
    </row>
    <row r="185" spans="2:7" ht="41.4" outlineLevel="3" x14ac:dyDescent="0.3">
      <c r="B185" s="17" t="s">
        <v>242</v>
      </c>
      <c r="C185" s="16" t="s">
        <v>142</v>
      </c>
      <c r="D185" s="27">
        <f>3.22</f>
        <v>3.22</v>
      </c>
      <c r="E185" s="18" t="s">
        <v>13</v>
      </c>
      <c r="F185" s="19"/>
      <c r="G185" s="28">
        <f t="shared" si="4"/>
        <v>0</v>
      </c>
    </row>
    <row r="186" spans="2:7" ht="27.6" outlineLevel="3" x14ac:dyDescent="0.3">
      <c r="B186" s="17" t="s">
        <v>243</v>
      </c>
      <c r="C186" s="16" t="s">
        <v>144</v>
      </c>
      <c r="D186" s="27">
        <f>55.7</f>
        <v>55.7</v>
      </c>
      <c r="E186" s="18" t="s">
        <v>10</v>
      </c>
      <c r="F186" s="19"/>
      <c r="G186" s="28">
        <f t="shared" si="4"/>
        <v>0</v>
      </c>
    </row>
    <row r="187" spans="2:7" ht="27.6" outlineLevel="3" x14ac:dyDescent="0.3">
      <c r="B187" s="17" t="s">
        <v>244</v>
      </c>
      <c r="C187" s="16" t="s">
        <v>146</v>
      </c>
      <c r="D187" s="27">
        <f>55.7</f>
        <v>55.7</v>
      </c>
      <c r="E187" s="18" t="s">
        <v>10</v>
      </c>
      <c r="F187" s="19"/>
      <c r="G187" s="28">
        <f t="shared" si="4"/>
        <v>0</v>
      </c>
    </row>
    <row r="188" spans="2:7" ht="27.6" outlineLevel="3" x14ac:dyDescent="0.3">
      <c r="B188" s="17" t="s">
        <v>245</v>
      </c>
      <c r="C188" s="16" t="s">
        <v>148</v>
      </c>
      <c r="D188" s="27">
        <f>440.28</f>
        <v>440.28</v>
      </c>
      <c r="E188" s="18" t="s">
        <v>10</v>
      </c>
      <c r="F188" s="19"/>
      <c r="G188" s="28">
        <f t="shared" si="4"/>
        <v>0</v>
      </c>
    </row>
    <row r="189" spans="2:7" ht="41.4" outlineLevel="3" x14ac:dyDescent="0.3">
      <c r="B189" s="17" t="s">
        <v>246</v>
      </c>
      <c r="C189" s="16" t="s">
        <v>175</v>
      </c>
      <c r="D189" s="27">
        <f>48.15</f>
        <v>48.15</v>
      </c>
      <c r="E189" s="18" t="s">
        <v>10</v>
      </c>
      <c r="F189" s="19"/>
      <c r="G189" s="28">
        <f t="shared" si="4"/>
        <v>0</v>
      </c>
    </row>
    <row r="190" spans="2:7" outlineLevel="3" x14ac:dyDescent="0.3">
      <c r="B190" s="17" t="s">
        <v>247</v>
      </c>
      <c r="C190" s="16" t="s">
        <v>116</v>
      </c>
      <c r="D190" s="27">
        <f>74.36</f>
        <v>74.36</v>
      </c>
      <c r="E190" s="18" t="s">
        <v>28</v>
      </c>
      <c r="F190" s="19"/>
      <c r="G190" s="28">
        <f t="shared" si="4"/>
        <v>0</v>
      </c>
    </row>
    <row r="191" spans="2:7" outlineLevel="3" x14ac:dyDescent="0.3">
      <c r="B191" s="17" t="s">
        <v>248</v>
      </c>
      <c r="C191" s="16" t="s">
        <v>249</v>
      </c>
      <c r="D191" s="27">
        <f>323.34</f>
        <v>323.33999999999997</v>
      </c>
      <c r="E191" s="18" t="s">
        <v>28</v>
      </c>
      <c r="F191" s="19"/>
      <c r="G191" s="28">
        <f t="shared" si="4"/>
        <v>0</v>
      </c>
    </row>
    <row r="192" spans="2:7" ht="41.4" outlineLevel="3" x14ac:dyDescent="0.3">
      <c r="B192" s="17" t="s">
        <v>250</v>
      </c>
      <c r="C192" s="16" t="s">
        <v>153</v>
      </c>
      <c r="D192" s="27">
        <f>0.49</f>
        <v>0.49</v>
      </c>
      <c r="E192" s="18" t="s">
        <v>13</v>
      </c>
      <c r="F192" s="19"/>
      <c r="G192" s="28">
        <f t="shared" si="4"/>
        <v>0</v>
      </c>
    </row>
    <row r="193" spans="2:7" ht="41.4" outlineLevel="3" x14ac:dyDescent="0.3">
      <c r="B193" s="17" t="s">
        <v>251</v>
      </c>
      <c r="C193" s="16" t="s">
        <v>155</v>
      </c>
      <c r="D193" s="27">
        <f>114.13*2</f>
        <v>228.26</v>
      </c>
      <c r="E193" s="18" t="s">
        <v>28</v>
      </c>
      <c r="F193" s="19"/>
      <c r="G193" s="28">
        <f t="shared" si="4"/>
        <v>0</v>
      </c>
    </row>
    <row r="194" spans="2:7" ht="55.2" outlineLevel="3" x14ac:dyDescent="0.3">
      <c r="B194" s="17" t="s">
        <v>252</v>
      </c>
      <c r="C194" s="16" t="s">
        <v>122</v>
      </c>
      <c r="D194" s="27">
        <f>114.13*4</f>
        <v>456.52</v>
      </c>
      <c r="E194" s="18" t="s">
        <v>28</v>
      </c>
      <c r="F194" s="19"/>
      <c r="G194" s="28">
        <f t="shared" si="4"/>
        <v>0</v>
      </c>
    </row>
    <row r="195" spans="2:7" ht="41.4" outlineLevel="3" x14ac:dyDescent="0.3">
      <c r="B195" s="17" t="s">
        <v>253</v>
      </c>
      <c r="C195" s="16" t="s">
        <v>254</v>
      </c>
      <c r="D195" s="27">
        <v>3.0599999999999996</v>
      </c>
      <c r="E195" s="18" t="s">
        <v>10</v>
      </c>
      <c r="F195" s="19"/>
      <c r="G195" s="28">
        <f t="shared" si="4"/>
        <v>0</v>
      </c>
    </row>
    <row r="196" spans="2:7" ht="69" outlineLevel="3" x14ac:dyDescent="0.3">
      <c r="B196" s="17" t="s">
        <v>255</v>
      </c>
      <c r="C196" s="16" t="s">
        <v>256</v>
      </c>
      <c r="D196" s="27">
        <f>9.15+2.43*2</f>
        <v>14.010000000000002</v>
      </c>
      <c r="E196" s="18" t="s">
        <v>28</v>
      </c>
      <c r="F196" s="19"/>
      <c r="G196" s="28">
        <f t="shared" si="4"/>
        <v>0</v>
      </c>
    </row>
    <row r="197" spans="2:7" ht="55.2" outlineLevel="3" x14ac:dyDescent="0.3">
      <c r="B197" s="17" t="s">
        <v>257</v>
      </c>
      <c r="C197" s="16" t="s">
        <v>162</v>
      </c>
      <c r="D197" s="27">
        <f>5*0.2*0.35*1.4</f>
        <v>0.48999999999999994</v>
      </c>
      <c r="E197" s="18" t="s">
        <v>13</v>
      </c>
      <c r="F197" s="19"/>
      <c r="G197" s="28">
        <f t="shared" si="4"/>
        <v>0</v>
      </c>
    </row>
    <row r="198" spans="2:7" ht="55.2" outlineLevel="3" x14ac:dyDescent="0.3">
      <c r="B198" s="17" t="s">
        <v>258</v>
      </c>
      <c r="C198" s="16" t="s">
        <v>259</v>
      </c>
      <c r="D198" s="27">
        <f>725.54</f>
        <v>725.54</v>
      </c>
      <c r="E198" s="18" t="s">
        <v>10</v>
      </c>
      <c r="F198" s="19"/>
      <c r="G198" s="28">
        <f t="shared" si="4"/>
        <v>0</v>
      </c>
    </row>
    <row r="199" spans="2:7" ht="69" outlineLevel="3" x14ac:dyDescent="0.3">
      <c r="B199" s="17" t="s">
        <v>260</v>
      </c>
      <c r="C199" s="16" t="s">
        <v>261</v>
      </c>
      <c r="D199" s="27">
        <f>725.54+137.5</f>
        <v>863.04</v>
      </c>
      <c r="E199" s="18" t="s">
        <v>10</v>
      </c>
      <c r="F199" s="19"/>
      <c r="G199" s="28">
        <f t="shared" si="4"/>
        <v>0</v>
      </c>
    </row>
    <row r="200" spans="2:7" ht="27.6" outlineLevel="3" x14ac:dyDescent="0.3">
      <c r="B200" s="17" t="s">
        <v>262</v>
      </c>
      <c r="C200" s="16" t="s">
        <v>263</v>
      </c>
      <c r="D200" s="27">
        <v>247.2</v>
      </c>
      <c r="E200" s="18" t="s">
        <v>28</v>
      </c>
      <c r="F200" s="19"/>
      <c r="G200" s="28">
        <f t="shared" si="4"/>
        <v>0</v>
      </c>
    </row>
    <row r="201" spans="2:7" ht="41.4" outlineLevel="3" x14ac:dyDescent="0.3">
      <c r="B201" s="17" t="s">
        <v>264</v>
      </c>
      <c r="C201" s="16" t="s">
        <v>265</v>
      </c>
      <c r="D201" s="27">
        <f>(4.65+5.15+13.75+15.55)*1.5</f>
        <v>58.650000000000006</v>
      </c>
      <c r="E201" s="18" t="s">
        <v>10</v>
      </c>
      <c r="F201" s="19"/>
      <c r="G201" s="28">
        <f t="shared" si="4"/>
        <v>0</v>
      </c>
    </row>
    <row r="202" spans="2:7" ht="27.6" outlineLevel="3" x14ac:dyDescent="0.3">
      <c r="B202" s="17" t="s">
        <v>2270</v>
      </c>
      <c r="C202" s="16" t="s">
        <v>2271</v>
      </c>
      <c r="D202" s="27">
        <v>501</v>
      </c>
      <c r="E202" s="18" t="s">
        <v>10</v>
      </c>
      <c r="F202" s="19"/>
      <c r="G202" s="28">
        <f t="shared" si="4"/>
        <v>0</v>
      </c>
    </row>
    <row r="203" spans="2:7" outlineLevel="3" x14ac:dyDescent="0.3">
      <c r="B203" s="29"/>
      <c r="C203" s="16"/>
      <c r="D203" s="17"/>
      <c r="E203" s="18"/>
      <c r="F203" s="19"/>
      <c r="G203" s="20"/>
    </row>
    <row r="204" spans="2:7" outlineLevel="2" x14ac:dyDescent="0.3">
      <c r="B204" s="29"/>
      <c r="C204" s="16"/>
      <c r="D204" s="17"/>
      <c r="E204" s="18"/>
      <c r="F204" s="19"/>
      <c r="G204" s="20"/>
    </row>
    <row r="205" spans="2:7" outlineLevel="1" x14ac:dyDescent="0.3">
      <c r="B205" s="29">
        <v>1.3</v>
      </c>
      <c r="C205" s="16" t="s">
        <v>619</v>
      </c>
      <c r="D205" s="17"/>
      <c r="E205" s="18"/>
      <c r="F205" s="19"/>
      <c r="G205" s="20">
        <f>SUBTOTAL(9,G206:G327)</f>
        <v>0</v>
      </c>
    </row>
    <row r="206" spans="2:7" outlineLevel="2" x14ac:dyDescent="0.3">
      <c r="B206" s="21" t="s">
        <v>266</v>
      </c>
      <c r="C206" s="22" t="s">
        <v>267</v>
      </c>
      <c r="D206" s="23" t="s">
        <v>268</v>
      </c>
      <c r="E206" s="24" t="s">
        <v>268</v>
      </c>
      <c r="F206" s="25"/>
      <c r="G206" s="26">
        <f>+SUBTOTAL(9,G207:G210)</f>
        <v>0</v>
      </c>
    </row>
    <row r="207" spans="2:7" ht="55.2" outlineLevel="3" x14ac:dyDescent="0.3">
      <c r="B207" s="17" t="s">
        <v>269</v>
      </c>
      <c r="C207" s="30" t="s">
        <v>270</v>
      </c>
      <c r="D207" s="27">
        <v>4.2</v>
      </c>
      <c r="E207" s="18" t="s">
        <v>10</v>
      </c>
      <c r="F207" s="27"/>
      <c r="G207" s="28">
        <f t="shared" ref="G207:G210" si="5">ROUNDUP(D207*F207,2)</f>
        <v>0</v>
      </c>
    </row>
    <row r="208" spans="2:7" ht="27.6" outlineLevel="3" x14ac:dyDescent="0.3">
      <c r="B208" s="17" t="s">
        <v>271</v>
      </c>
      <c r="C208" s="30" t="s">
        <v>272</v>
      </c>
      <c r="D208" s="27">
        <v>0.3</v>
      </c>
      <c r="E208" s="18" t="s">
        <v>13</v>
      </c>
      <c r="F208" s="27"/>
      <c r="G208" s="28">
        <f t="shared" si="5"/>
        <v>0</v>
      </c>
    </row>
    <row r="209" spans="2:7" outlineLevel="3" x14ac:dyDescent="0.3">
      <c r="B209" s="17" t="s">
        <v>273</v>
      </c>
      <c r="C209" s="16" t="s">
        <v>274</v>
      </c>
      <c r="D209" s="27">
        <v>5.08</v>
      </c>
      <c r="E209" s="18" t="s">
        <v>10</v>
      </c>
      <c r="F209" s="27"/>
      <c r="G209" s="28">
        <f t="shared" si="5"/>
        <v>0</v>
      </c>
    </row>
    <row r="210" spans="2:7" outlineLevel="3" x14ac:dyDescent="0.3">
      <c r="B210" s="17" t="s">
        <v>275</v>
      </c>
      <c r="C210" s="16" t="s">
        <v>276</v>
      </c>
      <c r="D210" s="27">
        <v>18</v>
      </c>
      <c r="E210" s="18" t="s">
        <v>28</v>
      </c>
      <c r="F210" s="27"/>
      <c r="G210" s="28">
        <f t="shared" si="5"/>
        <v>0</v>
      </c>
    </row>
    <row r="211" spans="2:7" outlineLevel="2" x14ac:dyDescent="0.3">
      <c r="B211" s="21" t="s">
        <v>277</v>
      </c>
      <c r="C211" s="22" t="s">
        <v>278</v>
      </c>
      <c r="D211" s="23" t="s">
        <v>268</v>
      </c>
      <c r="E211" s="24" t="s">
        <v>268</v>
      </c>
      <c r="F211" s="25"/>
      <c r="G211" s="26">
        <f>+SUBTOTAL(9,G212:G220)</f>
        <v>0</v>
      </c>
    </row>
    <row r="212" spans="2:7" ht="55.2" outlineLevel="3" x14ac:dyDescent="0.3">
      <c r="B212" s="17" t="s">
        <v>279</v>
      </c>
      <c r="C212" s="16" t="s">
        <v>280</v>
      </c>
      <c r="D212" s="27">
        <f>228.71</f>
        <v>228.71</v>
      </c>
      <c r="E212" s="18" t="s">
        <v>10</v>
      </c>
      <c r="F212" s="27"/>
      <c r="G212" s="28">
        <f t="shared" ref="G212:G220" si="6">ROUNDUP(D212*F212,2)</f>
        <v>0</v>
      </c>
    </row>
    <row r="213" spans="2:7" outlineLevel="3" x14ac:dyDescent="0.3">
      <c r="B213" s="17" t="s">
        <v>281</v>
      </c>
      <c r="C213" s="16" t="s">
        <v>282</v>
      </c>
      <c r="D213" s="27">
        <f>338.16</f>
        <v>338.16</v>
      </c>
      <c r="E213" s="18" t="s">
        <v>10</v>
      </c>
      <c r="F213" s="27"/>
      <c r="G213" s="28">
        <f t="shared" si="6"/>
        <v>0</v>
      </c>
    </row>
    <row r="214" spans="2:7" outlineLevel="3" x14ac:dyDescent="0.3">
      <c r="B214" s="17" t="s">
        <v>283</v>
      </c>
      <c r="C214" s="16" t="s">
        <v>276</v>
      </c>
      <c r="D214" s="27">
        <f>209.64</f>
        <v>209.64</v>
      </c>
      <c r="E214" s="18" t="s">
        <v>28</v>
      </c>
      <c r="F214" s="27"/>
      <c r="G214" s="28">
        <f t="shared" si="6"/>
        <v>0</v>
      </c>
    </row>
    <row r="215" spans="2:7" ht="41.4" outlineLevel="3" x14ac:dyDescent="0.3">
      <c r="B215" s="17" t="s">
        <v>284</v>
      </c>
      <c r="C215" s="16" t="s">
        <v>285</v>
      </c>
      <c r="D215" s="27">
        <f>1.11</f>
        <v>1.1100000000000001</v>
      </c>
      <c r="E215" s="18" t="s">
        <v>13</v>
      </c>
      <c r="F215" s="27"/>
      <c r="G215" s="28">
        <f t="shared" si="6"/>
        <v>0</v>
      </c>
    </row>
    <row r="216" spans="2:7" ht="41.4" outlineLevel="3" x14ac:dyDescent="0.3">
      <c r="B216" s="17" t="s">
        <v>286</v>
      </c>
      <c r="C216" s="16" t="s">
        <v>287</v>
      </c>
      <c r="D216" s="27">
        <f>3.96*2</f>
        <v>7.92</v>
      </c>
      <c r="E216" s="18" t="s">
        <v>13</v>
      </c>
      <c r="F216" s="27"/>
      <c r="G216" s="28">
        <f t="shared" si="6"/>
        <v>0</v>
      </c>
    </row>
    <row r="217" spans="2:7" outlineLevel="3" x14ac:dyDescent="0.3">
      <c r="B217" s="17" t="s">
        <v>288</v>
      </c>
      <c r="C217" s="31" t="s">
        <v>289</v>
      </c>
      <c r="D217" s="27">
        <f>16.22</f>
        <v>16.22</v>
      </c>
      <c r="E217" s="18" t="s">
        <v>10</v>
      </c>
      <c r="F217" s="27"/>
      <c r="G217" s="28">
        <f t="shared" si="6"/>
        <v>0</v>
      </c>
    </row>
    <row r="218" spans="2:7" ht="27.6" outlineLevel="3" x14ac:dyDescent="0.3">
      <c r="B218" s="17" t="s">
        <v>290</v>
      </c>
      <c r="C218" s="16" t="s">
        <v>291</v>
      </c>
      <c r="D218" s="27">
        <f>42*0.6*0.65</f>
        <v>16.38</v>
      </c>
      <c r="E218" s="18" t="s">
        <v>13</v>
      </c>
      <c r="F218" s="27"/>
      <c r="G218" s="28">
        <f t="shared" si="6"/>
        <v>0</v>
      </c>
    </row>
    <row r="219" spans="2:7" ht="27.6" outlineLevel="3" x14ac:dyDescent="0.3">
      <c r="B219" s="17" t="s">
        <v>292</v>
      </c>
      <c r="C219" s="16" t="s">
        <v>293</v>
      </c>
      <c r="D219" s="27">
        <f>+D218*1.3</f>
        <v>21.294</v>
      </c>
      <c r="E219" s="18" t="s">
        <v>13</v>
      </c>
      <c r="F219" s="27"/>
      <c r="G219" s="28">
        <f t="shared" si="6"/>
        <v>0</v>
      </c>
    </row>
    <row r="220" spans="2:7" ht="41.4" outlineLevel="3" x14ac:dyDescent="0.3">
      <c r="B220" s="17" t="s">
        <v>294</v>
      </c>
      <c r="C220" s="16" t="s">
        <v>295</v>
      </c>
      <c r="D220" s="27">
        <f>6.32</f>
        <v>6.32</v>
      </c>
      <c r="E220" s="18" t="s">
        <v>13</v>
      </c>
      <c r="F220" s="27"/>
      <c r="G220" s="28">
        <f t="shared" si="6"/>
        <v>0</v>
      </c>
    </row>
    <row r="221" spans="2:7" outlineLevel="2" x14ac:dyDescent="0.3">
      <c r="B221" s="21" t="s">
        <v>296</v>
      </c>
      <c r="C221" s="22" t="s">
        <v>297</v>
      </c>
      <c r="D221" s="23" t="s">
        <v>268</v>
      </c>
      <c r="E221" s="24" t="s">
        <v>268</v>
      </c>
      <c r="F221" s="25"/>
      <c r="G221" s="26">
        <f>+SUBTOTAL(9,G222:G231)</f>
        <v>0</v>
      </c>
    </row>
    <row r="222" spans="2:7" ht="69" outlineLevel="3" x14ac:dyDescent="0.3">
      <c r="B222" s="17" t="s">
        <v>298</v>
      </c>
      <c r="C222" s="16" t="s">
        <v>299</v>
      </c>
      <c r="D222" s="27">
        <v>11.66</v>
      </c>
      <c r="E222" s="18" t="s">
        <v>10</v>
      </c>
      <c r="F222" s="27"/>
      <c r="G222" s="28">
        <f t="shared" ref="G222:G231" si="7">ROUNDUP(D222*F222,2)</f>
        <v>0</v>
      </c>
    </row>
    <row r="223" spans="2:7" outlineLevel="3" x14ac:dyDescent="0.3">
      <c r="B223" s="17" t="s">
        <v>300</v>
      </c>
      <c r="C223" s="16" t="s">
        <v>282</v>
      </c>
      <c r="D223" s="27">
        <f>+D222*2</f>
        <v>23.32</v>
      </c>
      <c r="E223" s="18" t="s">
        <v>10</v>
      </c>
      <c r="F223" s="27"/>
      <c r="G223" s="28">
        <f t="shared" si="7"/>
        <v>0</v>
      </c>
    </row>
    <row r="224" spans="2:7" outlineLevel="3" x14ac:dyDescent="0.3">
      <c r="B224" s="17" t="s">
        <v>301</v>
      </c>
      <c r="C224" s="16" t="s">
        <v>276</v>
      </c>
      <c r="D224" s="27">
        <f>23.5</f>
        <v>23.5</v>
      </c>
      <c r="E224" s="18" t="s">
        <v>28</v>
      </c>
      <c r="F224" s="27"/>
      <c r="G224" s="28">
        <f t="shared" si="7"/>
        <v>0</v>
      </c>
    </row>
    <row r="225" spans="2:7" ht="41.4" outlineLevel="3" x14ac:dyDescent="0.3">
      <c r="B225" s="17" t="s">
        <v>302</v>
      </c>
      <c r="C225" s="16" t="s">
        <v>303</v>
      </c>
      <c r="D225" s="27">
        <v>0.1</v>
      </c>
      <c r="E225" s="18" t="s">
        <v>13</v>
      </c>
      <c r="F225" s="27"/>
      <c r="G225" s="28">
        <f t="shared" si="7"/>
        <v>0</v>
      </c>
    </row>
    <row r="226" spans="2:7" outlineLevel="3" x14ac:dyDescent="0.3">
      <c r="B226" s="17" t="s">
        <v>304</v>
      </c>
      <c r="C226" s="31" t="s">
        <v>305</v>
      </c>
      <c r="D226" s="27">
        <f>0.84</f>
        <v>0.84</v>
      </c>
      <c r="E226" s="18" t="s">
        <v>10</v>
      </c>
      <c r="F226" s="27"/>
      <c r="G226" s="28">
        <f t="shared" si="7"/>
        <v>0</v>
      </c>
    </row>
    <row r="227" spans="2:7" ht="27.6" outlineLevel="3" x14ac:dyDescent="0.3">
      <c r="B227" s="17" t="s">
        <v>306</v>
      </c>
      <c r="C227" s="30" t="s">
        <v>307</v>
      </c>
      <c r="D227" s="27">
        <f>3.5*0.12</f>
        <v>0.42</v>
      </c>
      <c r="E227" s="18" t="s">
        <v>13</v>
      </c>
      <c r="F227" s="27"/>
      <c r="G227" s="28">
        <f t="shared" si="7"/>
        <v>0</v>
      </c>
    </row>
    <row r="228" spans="2:7" ht="41.4" outlineLevel="3" x14ac:dyDescent="0.3">
      <c r="B228" s="17" t="s">
        <v>308</v>
      </c>
      <c r="C228" s="30" t="s">
        <v>309</v>
      </c>
      <c r="D228" s="27">
        <v>3.6</v>
      </c>
      <c r="E228" s="18" t="s">
        <v>10</v>
      </c>
      <c r="F228" s="27"/>
      <c r="G228" s="28">
        <f t="shared" si="7"/>
        <v>0</v>
      </c>
    </row>
    <row r="229" spans="2:7" ht="55.2" outlineLevel="3" x14ac:dyDescent="0.3">
      <c r="B229" s="17" t="s">
        <v>310</v>
      </c>
      <c r="C229" s="30" t="s">
        <v>311</v>
      </c>
      <c r="D229" s="27">
        <f>3.5</f>
        <v>3.5</v>
      </c>
      <c r="E229" s="18" t="s">
        <v>10</v>
      </c>
      <c r="F229" s="27"/>
      <c r="G229" s="28">
        <f t="shared" si="7"/>
        <v>0</v>
      </c>
    </row>
    <row r="230" spans="2:7" ht="27.6" outlineLevel="3" x14ac:dyDescent="0.3">
      <c r="B230" s="17" t="s">
        <v>312</v>
      </c>
      <c r="C230" s="16" t="s">
        <v>313</v>
      </c>
      <c r="D230" s="27">
        <f>2.8*2+1.25*2</f>
        <v>8.1</v>
      </c>
      <c r="E230" s="18" t="s">
        <v>314</v>
      </c>
      <c r="F230" s="19"/>
      <c r="G230" s="28">
        <f t="shared" si="7"/>
        <v>0</v>
      </c>
    </row>
    <row r="231" spans="2:7" ht="55.2" outlineLevel="3" x14ac:dyDescent="0.3">
      <c r="B231" s="17" t="s">
        <v>315</v>
      </c>
      <c r="C231" s="16" t="s">
        <v>316</v>
      </c>
      <c r="D231" s="27">
        <f>+D229+D230*0.4</f>
        <v>6.74</v>
      </c>
      <c r="E231" s="18" t="s">
        <v>10</v>
      </c>
      <c r="F231" s="19"/>
      <c r="G231" s="28">
        <f t="shared" si="7"/>
        <v>0</v>
      </c>
    </row>
    <row r="232" spans="2:7" outlineLevel="2" x14ac:dyDescent="0.3">
      <c r="B232" s="21" t="s">
        <v>317</v>
      </c>
      <c r="C232" s="22" t="s">
        <v>318</v>
      </c>
      <c r="D232" s="23" t="s">
        <v>268</v>
      </c>
      <c r="E232" s="24" t="s">
        <v>268</v>
      </c>
      <c r="F232" s="25"/>
      <c r="G232" s="26">
        <f>+SUBTOTAL(9,G233:G243)</f>
        <v>0</v>
      </c>
    </row>
    <row r="233" spans="2:7" ht="69" outlineLevel="3" x14ac:dyDescent="0.3">
      <c r="B233" s="17" t="s">
        <v>319</v>
      </c>
      <c r="C233" s="16" t="s">
        <v>299</v>
      </c>
      <c r="D233" s="27">
        <f>27.9</f>
        <v>27.9</v>
      </c>
      <c r="E233" s="18" t="s">
        <v>10</v>
      </c>
      <c r="F233" s="27"/>
      <c r="G233" s="28">
        <f t="shared" ref="G233:G243" si="8">ROUNDUP(D233*F233,2)</f>
        <v>0</v>
      </c>
    </row>
    <row r="234" spans="2:7" outlineLevel="3" x14ac:dyDescent="0.3">
      <c r="B234" s="17" t="s">
        <v>320</v>
      </c>
      <c r="C234" s="16" t="s">
        <v>282</v>
      </c>
      <c r="D234" s="27">
        <v>44.8</v>
      </c>
      <c r="E234" s="18" t="s">
        <v>10</v>
      </c>
      <c r="F234" s="27"/>
      <c r="G234" s="28">
        <f t="shared" si="8"/>
        <v>0</v>
      </c>
    </row>
    <row r="235" spans="2:7" outlineLevel="3" x14ac:dyDescent="0.3">
      <c r="B235" s="17" t="s">
        <v>321</v>
      </c>
      <c r="C235" s="16" t="s">
        <v>276</v>
      </c>
      <c r="D235" s="27">
        <f>40.62</f>
        <v>40.619999999999997</v>
      </c>
      <c r="E235" s="18" t="s">
        <v>28</v>
      </c>
      <c r="F235" s="27"/>
      <c r="G235" s="28">
        <f t="shared" si="8"/>
        <v>0</v>
      </c>
    </row>
    <row r="236" spans="2:7" ht="41.4" outlineLevel="3" x14ac:dyDescent="0.3">
      <c r="B236" s="17" t="s">
        <v>322</v>
      </c>
      <c r="C236" s="16" t="s">
        <v>323</v>
      </c>
      <c r="D236" s="27">
        <f>9.9*0.2</f>
        <v>1.9800000000000002</v>
      </c>
      <c r="E236" s="18" t="s">
        <v>10</v>
      </c>
      <c r="F236" s="27"/>
      <c r="G236" s="28">
        <f t="shared" si="8"/>
        <v>0</v>
      </c>
    </row>
    <row r="237" spans="2:7" ht="41.4" outlineLevel="3" x14ac:dyDescent="0.3">
      <c r="B237" s="17" t="s">
        <v>324</v>
      </c>
      <c r="C237" s="16" t="s">
        <v>303</v>
      </c>
      <c r="D237" s="27">
        <f>1.8*0.15*0.2*2</f>
        <v>0.10800000000000001</v>
      </c>
      <c r="E237" s="18" t="s">
        <v>13</v>
      </c>
      <c r="F237" s="27"/>
      <c r="G237" s="28">
        <f t="shared" si="8"/>
        <v>0</v>
      </c>
    </row>
    <row r="238" spans="2:7" outlineLevel="3" x14ac:dyDescent="0.3">
      <c r="B238" s="17" t="s">
        <v>325</v>
      </c>
      <c r="C238" s="31" t="s">
        <v>305</v>
      </c>
      <c r="D238" s="27">
        <f>1.41</f>
        <v>1.41</v>
      </c>
      <c r="E238" s="18" t="s">
        <v>10</v>
      </c>
      <c r="F238" s="27"/>
      <c r="G238" s="28">
        <f t="shared" si="8"/>
        <v>0</v>
      </c>
    </row>
    <row r="239" spans="2:7" ht="27.6" outlineLevel="3" x14ac:dyDescent="0.3">
      <c r="B239" s="17" t="s">
        <v>326</v>
      </c>
      <c r="C239" s="30" t="s">
        <v>307</v>
      </c>
      <c r="D239" s="27">
        <f>1.05</f>
        <v>1.05</v>
      </c>
      <c r="E239" s="18" t="s">
        <v>13</v>
      </c>
      <c r="F239" s="27"/>
      <c r="G239" s="28">
        <f t="shared" si="8"/>
        <v>0</v>
      </c>
    </row>
    <row r="240" spans="2:7" ht="41.4" outlineLevel="3" x14ac:dyDescent="0.3">
      <c r="B240" s="17" t="s">
        <v>327</v>
      </c>
      <c r="C240" s="30" t="s">
        <v>309</v>
      </c>
      <c r="D240" s="27">
        <v>10</v>
      </c>
      <c r="E240" s="18" t="s">
        <v>10</v>
      </c>
      <c r="F240" s="27"/>
      <c r="G240" s="28">
        <f t="shared" si="8"/>
        <v>0</v>
      </c>
    </row>
    <row r="241" spans="2:7" ht="55.2" outlineLevel="3" x14ac:dyDescent="0.3">
      <c r="B241" s="17" t="s">
        <v>328</v>
      </c>
      <c r="C241" s="30" t="s">
        <v>311</v>
      </c>
      <c r="D241" s="27">
        <f>8.75</f>
        <v>8.75</v>
      </c>
      <c r="E241" s="18" t="s">
        <v>10</v>
      </c>
      <c r="F241" s="27"/>
      <c r="G241" s="28">
        <f t="shared" si="8"/>
        <v>0</v>
      </c>
    </row>
    <row r="242" spans="2:7" ht="27.6" outlineLevel="3" x14ac:dyDescent="0.3">
      <c r="B242" s="17" t="s">
        <v>329</v>
      </c>
      <c r="C242" s="16" t="s">
        <v>313</v>
      </c>
      <c r="D242" s="27">
        <v>15.1</v>
      </c>
      <c r="E242" s="18" t="s">
        <v>314</v>
      </c>
      <c r="F242" s="19"/>
      <c r="G242" s="28">
        <f t="shared" si="8"/>
        <v>0</v>
      </c>
    </row>
    <row r="243" spans="2:7" ht="55.2" outlineLevel="3" x14ac:dyDescent="0.3">
      <c r="B243" s="17" t="s">
        <v>330</v>
      </c>
      <c r="C243" s="16" t="s">
        <v>316</v>
      </c>
      <c r="D243" s="27">
        <f>+D241+D242*0.4</f>
        <v>14.79</v>
      </c>
      <c r="E243" s="18" t="s">
        <v>10</v>
      </c>
      <c r="F243" s="19"/>
      <c r="G243" s="28">
        <f t="shared" si="8"/>
        <v>0</v>
      </c>
    </row>
    <row r="244" spans="2:7" outlineLevel="2" x14ac:dyDescent="0.3">
      <c r="B244" s="21" t="s">
        <v>331</v>
      </c>
      <c r="C244" s="22" t="s">
        <v>332</v>
      </c>
      <c r="D244" s="23" t="s">
        <v>268</v>
      </c>
      <c r="E244" s="24" t="s">
        <v>268</v>
      </c>
      <c r="F244" s="25"/>
      <c r="G244" s="26">
        <f>+SUBTOTAL(9,G245:G259)</f>
        <v>0</v>
      </c>
    </row>
    <row r="245" spans="2:7" ht="69" outlineLevel="3" x14ac:dyDescent="0.3">
      <c r="B245" s="17" t="s">
        <v>333</v>
      </c>
      <c r="C245" s="16" t="s">
        <v>299</v>
      </c>
      <c r="D245" s="27">
        <f>18.54</f>
        <v>18.54</v>
      </c>
      <c r="E245" s="18" t="s">
        <v>10</v>
      </c>
      <c r="F245" s="27"/>
      <c r="G245" s="28">
        <f t="shared" ref="G245:G259" si="9">ROUNDUP(D245*F245,2)</f>
        <v>0</v>
      </c>
    </row>
    <row r="246" spans="2:7" outlineLevel="3" x14ac:dyDescent="0.3">
      <c r="B246" s="17" t="s">
        <v>334</v>
      </c>
      <c r="C246" s="16" t="s">
        <v>335</v>
      </c>
      <c r="D246" s="27">
        <f>29.9</f>
        <v>29.9</v>
      </c>
      <c r="E246" s="18" t="s">
        <v>10</v>
      </c>
      <c r="F246" s="27"/>
      <c r="G246" s="28">
        <f t="shared" si="9"/>
        <v>0</v>
      </c>
    </row>
    <row r="247" spans="2:7" outlineLevel="3" x14ac:dyDescent="0.3">
      <c r="B247" s="17" t="s">
        <v>336</v>
      </c>
      <c r="C247" s="16" t="s">
        <v>337</v>
      </c>
      <c r="D247" s="27">
        <f>80.5</f>
        <v>80.5</v>
      </c>
      <c r="E247" s="18" t="s">
        <v>10</v>
      </c>
      <c r="F247" s="27"/>
      <c r="G247" s="28">
        <f t="shared" si="9"/>
        <v>0</v>
      </c>
    </row>
    <row r="248" spans="2:7" outlineLevel="3" x14ac:dyDescent="0.3">
      <c r="B248" s="17" t="s">
        <v>338</v>
      </c>
      <c r="C248" s="16" t="s">
        <v>339</v>
      </c>
      <c r="D248" s="27">
        <f>79.4</f>
        <v>79.400000000000006</v>
      </c>
      <c r="E248" s="18" t="s">
        <v>10</v>
      </c>
      <c r="F248" s="27"/>
      <c r="G248" s="28">
        <f t="shared" si="9"/>
        <v>0</v>
      </c>
    </row>
    <row r="249" spans="2:7" outlineLevel="3" x14ac:dyDescent="0.3">
      <c r="B249" s="17" t="s">
        <v>340</v>
      </c>
      <c r="C249" s="16" t="s">
        <v>276</v>
      </c>
      <c r="D249" s="27">
        <f>60.7</f>
        <v>60.7</v>
      </c>
      <c r="E249" s="18" t="s">
        <v>28</v>
      </c>
      <c r="F249" s="27"/>
      <c r="G249" s="28">
        <f t="shared" si="9"/>
        <v>0</v>
      </c>
    </row>
    <row r="250" spans="2:7" ht="27.6" outlineLevel="3" x14ac:dyDescent="0.3">
      <c r="B250" s="17" t="s">
        <v>341</v>
      </c>
      <c r="C250" s="16" t="s">
        <v>342</v>
      </c>
      <c r="D250" s="27">
        <f>24.24</f>
        <v>24.24</v>
      </c>
      <c r="E250" s="18" t="s">
        <v>28</v>
      </c>
      <c r="F250" s="27"/>
      <c r="G250" s="28">
        <f t="shared" si="9"/>
        <v>0</v>
      </c>
    </row>
    <row r="251" spans="2:7" ht="41.4" outlineLevel="3" x14ac:dyDescent="0.3">
      <c r="B251" s="17" t="s">
        <v>343</v>
      </c>
      <c r="C251" s="16" t="s">
        <v>344</v>
      </c>
      <c r="D251" s="27">
        <f>0.19</f>
        <v>0.19</v>
      </c>
      <c r="E251" s="18" t="s">
        <v>13</v>
      </c>
      <c r="F251" s="27"/>
      <c r="G251" s="28">
        <f t="shared" si="9"/>
        <v>0</v>
      </c>
    </row>
    <row r="252" spans="2:7" ht="27.6" outlineLevel="3" x14ac:dyDescent="0.3">
      <c r="B252" s="17" t="s">
        <v>345</v>
      </c>
      <c r="C252" s="16" t="s">
        <v>346</v>
      </c>
      <c r="D252" s="27">
        <f>1.25</f>
        <v>1.25</v>
      </c>
      <c r="E252" s="18" t="s">
        <v>13</v>
      </c>
      <c r="F252" s="27"/>
      <c r="G252" s="28">
        <f t="shared" si="9"/>
        <v>0</v>
      </c>
    </row>
    <row r="253" spans="2:7" ht="27.6" outlineLevel="3" x14ac:dyDescent="0.3">
      <c r="B253" s="17" t="s">
        <v>347</v>
      </c>
      <c r="C253" s="16" t="s">
        <v>348</v>
      </c>
      <c r="D253" s="27">
        <f>1.24</f>
        <v>1.24</v>
      </c>
      <c r="E253" s="18" t="s">
        <v>13</v>
      </c>
      <c r="F253" s="27"/>
      <c r="G253" s="28">
        <f t="shared" si="9"/>
        <v>0</v>
      </c>
    </row>
    <row r="254" spans="2:7" ht="27.6" outlineLevel="3" x14ac:dyDescent="0.3">
      <c r="B254" s="17" t="s">
        <v>349</v>
      </c>
      <c r="C254" s="16" t="s">
        <v>350</v>
      </c>
      <c r="D254" s="27">
        <f>2.38</f>
        <v>2.38</v>
      </c>
      <c r="E254" s="18" t="s">
        <v>13</v>
      </c>
      <c r="F254" s="27"/>
      <c r="G254" s="28">
        <f t="shared" si="9"/>
        <v>0</v>
      </c>
    </row>
    <row r="255" spans="2:7" ht="41.4" outlineLevel="3" x14ac:dyDescent="0.3">
      <c r="B255" s="17" t="s">
        <v>351</v>
      </c>
      <c r="C255" s="30" t="s">
        <v>352</v>
      </c>
      <c r="D255" s="27">
        <f>5.05</f>
        <v>5.05</v>
      </c>
      <c r="E255" s="18" t="s">
        <v>13</v>
      </c>
      <c r="F255" s="27"/>
      <c r="G255" s="28">
        <f t="shared" si="9"/>
        <v>0</v>
      </c>
    </row>
    <row r="256" spans="2:7" ht="41.4" outlineLevel="3" x14ac:dyDescent="0.3">
      <c r="B256" s="17" t="s">
        <v>353</v>
      </c>
      <c r="C256" s="30" t="s">
        <v>309</v>
      </c>
      <c r="D256" s="27">
        <v>0.55000000000000004</v>
      </c>
      <c r="E256" s="18" t="s">
        <v>13</v>
      </c>
      <c r="F256" s="27"/>
      <c r="G256" s="28">
        <f t="shared" si="9"/>
        <v>0</v>
      </c>
    </row>
    <row r="257" spans="2:7" ht="55.2" outlineLevel="3" x14ac:dyDescent="0.3">
      <c r="B257" s="17" t="s">
        <v>354</v>
      </c>
      <c r="C257" s="30" t="s">
        <v>311</v>
      </c>
      <c r="D257" s="27">
        <f>25.25</f>
        <v>25.25</v>
      </c>
      <c r="E257" s="18" t="s">
        <v>10</v>
      </c>
      <c r="F257" s="27"/>
      <c r="G257" s="28">
        <f t="shared" si="9"/>
        <v>0</v>
      </c>
    </row>
    <row r="258" spans="2:7" ht="27.6" outlineLevel="3" x14ac:dyDescent="0.3">
      <c r="B258" s="17" t="s">
        <v>355</v>
      </c>
      <c r="C258" s="16" t="s">
        <v>313</v>
      </c>
      <c r="D258" s="27">
        <f>+(2.06+2*2)*4</f>
        <v>24.240000000000002</v>
      </c>
      <c r="E258" s="18" t="s">
        <v>314</v>
      </c>
      <c r="F258" s="19"/>
      <c r="G258" s="28">
        <f t="shared" si="9"/>
        <v>0</v>
      </c>
    </row>
    <row r="259" spans="2:7" ht="55.2" outlineLevel="3" x14ac:dyDescent="0.3">
      <c r="B259" s="17" t="s">
        <v>356</v>
      </c>
      <c r="C259" s="16" t="s">
        <v>316</v>
      </c>
      <c r="D259" s="27">
        <f>+D257+D258*0.3</f>
        <v>32.521999999999998</v>
      </c>
      <c r="E259" s="18" t="s">
        <v>10</v>
      </c>
      <c r="F259" s="19"/>
      <c r="G259" s="28">
        <f t="shared" si="9"/>
        <v>0</v>
      </c>
    </row>
    <row r="260" spans="2:7" outlineLevel="2" x14ac:dyDescent="0.3">
      <c r="B260" s="21" t="s">
        <v>357</v>
      </c>
      <c r="C260" s="22" t="s">
        <v>358</v>
      </c>
      <c r="D260" s="23" t="s">
        <v>268</v>
      </c>
      <c r="E260" s="24" t="s">
        <v>268</v>
      </c>
      <c r="F260" s="25"/>
      <c r="G260" s="26">
        <f>+SUBTOTAL(9,G261:G264)</f>
        <v>0</v>
      </c>
    </row>
    <row r="261" spans="2:7" ht="41.4" outlineLevel="3" x14ac:dyDescent="0.3">
      <c r="B261" s="17" t="s">
        <v>359</v>
      </c>
      <c r="C261" s="16" t="s">
        <v>360</v>
      </c>
      <c r="D261" s="27">
        <f>1.42</f>
        <v>1.42</v>
      </c>
      <c r="E261" s="18" t="s">
        <v>13</v>
      </c>
      <c r="F261" s="27"/>
      <c r="G261" s="28">
        <f t="shared" ref="G261:G264" si="10">ROUNDUP(D261*F261,2)</f>
        <v>0</v>
      </c>
    </row>
    <row r="262" spans="2:7" outlineLevel="3" x14ac:dyDescent="0.3">
      <c r="B262" s="17" t="s">
        <v>361</v>
      </c>
      <c r="C262" s="16" t="s">
        <v>339</v>
      </c>
      <c r="D262" s="27">
        <f>28.3</f>
        <v>28.3</v>
      </c>
      <c r="E262" s="18" t="s">
        <v>10</v>
      </c>
      <c r="F262" s="27"/>
      <c r="G262" s="28">
        <f t="shared" si="10"/>
        <v>0</v>
      </c>
    </row>
    <row r="263" spans="2:7" outlineLevel="3" x14ac:dyDescent="0.3">
      <c r="B263" s="17" t="s">
        <v>362</v>
      </c>
      <c r="C263" s="16" t="s">
        <v>363</v>
      </c>
      <c r="D263" s="27">
        <f>29.7</f>
        <v>29.7</v>
      </c>
      <c r="E263" s="18" t="s">
        <v>10</v>
      </c>
      <c r="F263" s="27"/>
      <c r="G263" s="28">
        <f t="shared" si="10"/>
        <v>0</v>
      </c>
    </row>
    <row r="264" spans="2:7" outlineLevel="3" x14ac:dyDescent="0.3">
      <c r="B264" s="17" t="s">
        <v>364</v>
      </c>
      <c r="C264" s="16" t="s">
        <v>276</v>
      </c>
      <c r="D264" s="27">
        <f>32.1</f>
        <v>32.1</v>
      </c>
      <c r="E264" s="18" t="s">
        <v>28</v>
      </c>
      <c r="F264" s="27"/>
      <c r="G264" s="28">
        <f t="shared" si="10"/>
        <v>0</v>
      </c>
    </row>
    <row r="265" spans="2:7" outlineLevel="2" x14ac:dyDescent="0.3">
      <c r="B265" s="21" t="s">
        <v>365</v>
      </c>
      <c r="C265" s="22" t="s">
        <v>366</v>
      </c>
      <c r="D265" s="23" t="s">
        <v>268</v>
      </c>
      <c r="E265" s="24" t="s">
        <v>268</v>
      </c>
      <c r="F265" s="25"/>
      <c r="G265" s="26">
        <f>+SUBTOTAL(9,G266:G268)</f>
        <v>0</v>
      </c>
    </row>
    <row r="266" spans="2:7" ht="69" outlineLevel="3" x14ac:dyDescent="0.3">
      <c r="B266" s="17" t="s">
        <v>367</v>
      </c>
      <c r="C266" s="16" t="s">
        <v>368</v>
      </c>
      <c r="D266" s="27">
        <f>(2.11+2.11+1+1.13+0.35)*0.5</f>
        <v>3.3499999999999996</v>
      </c>
      <c r="E266" s="18" t="s">
        <v>10</v>
      </c>
      <c r="F266" s="27"/>
      <c r="G266" s="28">
        <f t="shared" ref="G266:G268" si="11">ROUNDUP(D266*F266,2)</f>
        <v>0</v>
      </c>
    </row>
    <row r="267" spans="2:7" ht="27.6" outlineLevel="3" x14ac:dyDescent="0.3">
      <c r="B267" s="17" t="s">
        <v>369</v>
      </c>
      <c r="C267" s="16" t="s">
        <v>370</v>
      </c>
      <c r="D267" s="27">
        <f>D266</f>
        <v>3.3499999999999996</v>
      </c>
      <c r="E267" s="18" t="s">
        <v>10</v>
      </c>
      <c r="F267" s="27"/>
      <c r="G267" s="28">
        <f t="shared" si="11"/>
        <v>0</v>
      </c>
    </row>
    <row r="268" spans="2:7" ht="41.4" outlineLevel="3" x14ac:dyDescent="0.3">
      <c r="B268" s="17" t="s">
        <v>371</v>
      </c>
      <c r="C268" s="16" t="s">
        <v>372</v>
      </c>
      <c r="D268" s="27">
        <f>((2.11*1)+(1.13*0.35))*0.12</f>
        <v>0.30065999999999993</v>
      </c>
      <c r="E268" s="18" t="s">
        <v>13</v>
      </c>
      <c r="F268" s="27"/>
      <c r="G268" s="28">
        <f t="shared" si="11"/>
        <v>0</v>
      </c>
    </row>
    <row r="269" spans="2:7" outlineLevel="2" x14ac:dyDescent="0.3">
      <c r="B269" s="21" t="s">
        <v>373</v>
      </c>
      <c r="C269" s="22" t="s">
        <v>374</v>
      </c>
      <c r="D269" s="23" t="s">
        <v>268</v>
      </c>
      <c r="E269" s="24" t="s">
        <v>268</v>
      </c>
      <c r="F269" s="25"/>
      <c r="G269" s="26">
        <f>+SUBTOTAL(9,G270:G276)</f>
        <v>0</v>
      </c>
    </row>
    <row r="270" spans="2:7" ht="41.4" outlineLevel="3" x14ac:dyDescent="0.3">
      <c r="B270" s="17" t="s">
        <v>375</v>
      </c>
      <c r="C270" s="16" t="s">
        <v>376</v>
      </c>
      <c r="D270" s="27">
        <v>70</v>
      </c>
      <c r="E270" s="18" t="s">
        <v>10</v>
      </c>
      <c r="F270" s="27"/>
      <c r="G270" s="28">
        <f t="shared" ref="G270:G276" si="12">ROUNDUP(D270*F270,2)</f>
        <v>0</v>
      </c>
    </row>
    <row r="271" spans="2:7" ht="69" outlineLevel="3" x14ac:dyDescent="0.3">
      <c r="B271" s="17" t="s">
        <v>377</v>
      </c>
      <c r="C271" s="16" t="s">
        <v>378</v>
      </c>
      <c r="D271" s="27">
        <v>1.83</v>
      </c>
      <c r="E271" s="18" t="s">
        <v>10</v>
      </c>
      <c r="F271" s="27"/>
      <c r="G271" s="28">
        <f t="shared" si="12"/>
        <v>0</v>
      </c>
    </row>
    <row r="272" spans="2:7" ht="27.6" outlineLevel="3" x14ac:dyDescent="0.3">
      <c r="B272" s="17" t="s">
        <v>379</v>
      </c>
      <c r="C272" s="16" t="s">
        <v>380</v>
      </c>
      <c r="D272" s="27">
        <v>212.1</v>
      </c>
      <c r="E272" s="18" t="s">
        <v>28</v>
      </c>
      <c r="F272" s="27"/>
      <c r="G272" s="28">
        <f t="shared" si="12"/>
        <v>0</v>
      </c>
    </row>
    <row r="273" spans="2:8" ht="27.6" outlineLevel="3" x14ac:dyDescent="0.3">
      <c r="B273" s="17" t="s">
        <v>381</v>
      </c>
      <c r="C273" s="16" t="s">
        <v>382</v>
      </c>
      <c r="D273" s="27">
        <v>54</v>
      </c>
      <c r="E273" s="18" t="s">
        <v>28</v>
      </c>
      <c r="F273" s="27"/>
      <c r="G273" s="28">
        <f t="shared" si="12"/>
        <v>0</v>
      </c>
    </row>
    <row r="274" spans="2:8" ht="27.6" outlineLevel="3" x14ac:dyDescent="0.3">
      <c r="B274" s="17" t="s">
        <v>383</v>
      </c>
      <c r="C274" s="16" t="s">
        <v>384</v>
      </c>
      <c r="D274" s="27">
        <v>100</v>
      </c>
      <c r="E274" s="18" t="s">
        <v>28</v>
      </c>
      <c r="F274" s="27"/>
      <c r="G274" s="28">
        <f t="shared" si="12"/>
        <v>0</v>
      </c>
    </row>
    <row r="275" spans="2:8" outlineLevel="3" x14ac:dyDescent="0.3">
      <c r="B275" s="17" t="s">
        <v>385</v>
      </c>
      <c r="C275" s="16" t="s">
        <v>1071</v>
      </c>
      <c r="D275" s="27">
        <v>300</v>
      </c>
      <c r="E275" s="18" t="s">
        <v>10</v>
      </c>
      <c r="F275" s="19"/>
      <c r="G275" s="28">
        <f t="shared" si="12"/>
        <v>0</v>
      </c>
    </row>
    <row r="276" spans="2:8" ht="27.6" outlineLevel="3" x14ac:dyDescent="0.3">
      <c r="B276" s="17" t="s">
        <v>386</v>
      </c>
      <c r="C276" s="16" t="s">
        <v>387</v>
      </c>
      <c r="D276" s="27">
        <v>200</v>
      </c>
      <c r="E276" s="32" t="s">
        <v>581</v>
      </c>
      <c r="F276" s="27"/>
      <c r="G276" s="28">
        <f t="shared" si="12"/>
        <v>0</v>
      </c>
      <c r="H276" s="122"/>
    </row>
    <row r="277" spans="2:8" outlineLevel="2" x14ac:dyDescent="0.3">
      <c r="B277" s="21" t="s">
        <v>388</v>
      </c>
      <c r="C277" s="22" t="s">
        <v>389</v>
      </c>
      <c r="D277" s="23" t="s">
        <v>268</v>
      </c>
      <c r="E277" s="24" t="s">
        <v>268</v>
      </c>
      <c r="F277" s="25"/>
      <c r="G277" s="26">
        <f>+SUBTOTAL(9,G278)</f>
        <v>0</v>
      </c>
    </row>
    <row r="278" spans="2:8" ht="69" outlineLevel="3" x14ac:dyDescent="0.3">
      <c r="B278" s="17" t="s">
        <v>390</v>
      </c>
      <c r="C278" s="16" t="s">
        <v>391</v>
      </c>
      <c r="D278" s="33">
        <v>24</v>
      </c>
      <c r="E278" s="32" t="s">
        <v>2265</v>
      </c>
      <c r="F278" s="27"/>
      <c r="G278" s="28">
        <f t="shared" ref="G278" si="13">ROUNDUP(D278*F278,2)</f>
        <v>0</v>
      </c>
      <c r="H278" s="122"/>
    </row>
    <row r="279" spans="2:8" outlineLevel="2" x14ac:dyDescent="0.3">
      <c r="B279" s="21" t="s">
        <v>392</v>
      </c>
      <c r="C279" s="22" t="s">
        <v>393</v>
      </c>
      <c r="D279" s="23" t="s">
        <v>268</v>
      </c>
      <c r="E279" s="24" t="s">
        <v>268</v>
      </c>
      <c r="F279" s="25"/>
      <c r="G279" s="26">
        <f>+SUBTOTAL(9,G280:G291)</f>
        <v>0</v>
      </c>
    </row>
    <row r="280" spans="2:8" ht="27.6" outlineLevel="3" x14ac:dyDescent="0.3">
      <c r="B280" s="17" t="s">
        <v>394</v>
      </c>
      <c r="C280" s="16" t="s">
        <v>395</v>
      </c>
      <c r="D280" s="33">
        <v>20</v>
      </c>
      <c r="E280" s="34" t="s">
        <v>396</v>
      </c>
      <c r="F280" s="27"/>
      <c r="G280" s="28">
        <f t="shared" ref="G280:G291" si="14">ROUNDUP(D280*F280,2)</f>
        <v>0</v>
      </c>
    </row>
    <row r="281" spans="2:8" outlineLevel="3" x14ac:dyDescent="0.3">
      <c r="B281" s="17" t="s">
        <v>397</v>
      </c>
      <c r="C281" s="16" t="s">
        <v>398</v>
      </c>
      <c r="D281" s="33">
        <v>15</v>
      </c>
      <c r="E281" s="34" t="s">
        <v>396</v>
      </c>
      <c r="F281" s="27"/>
      <c r="G281" s="28">
        <f t="shared" si="14"/>
        <v>0</v>
      </c>
    </row>
    <row r="282" spans="2:8" ht="41.4" outlineLevel="3" x14ac:dyDescent="0.3">
      <c r="B282" s="17" t="s">
        <v>399</v>
      </c>
      <c r="C282" s="16" t="s">
        <v>400</v>
      </c>
      <c r="D282" s="33">
        <v>37</v>
      </c>
      <c r="E282" s="34" t="s">
        <v>396</v>
      </c>
      <c r="F282" s="27"/>
      <c r="G282" s="28">
        <f t="shared" si="14"/>
        <v>0</v>
      </c>
    </row>
    <row r="283" spans="2:8" outlineLevel="3" x14ac:dyDescent="0.3">
      <c r="B283" s="17" t="s">
        <v>401</v>
      </c>
      <c r="C283" s="16" t="s">
        <v>402</v>
      </c>
      <c r="D283" s="33">
        <v>20</v>
      </c>
      <c r="E283" s="34" t="s">
        <v>396</v>
      </c>
      <c r="F283" s="27"/>
      <c r="G283" s="28">
        <f t="shared" si="14"/>
        <v>0</v>
      </c>
    </row>
    <row r="284" spans="2:8" ht="69" outlineLevel="3" x14ac:dyDescent="0.3">
      <c r="B284" s="17" t="s">
        <v>403</v>
      </c>
      <c r="C284" s="16" t="s">
        <v>404</v>
      </c>
      <c r="D284" s="33">
        <v>3</v>
      </c>
      <c r="E284" s="34" t="s">
        <v>396</v>
      </c>
      <c r="F284" s="27"/>
      <c r="G284" s="28">
        <f t="shared" si="14"/>
        <v>0</v>
      </c>
    </row>
    <row r="285" spans="2:8" ht="41.4" outlineLevel="3" x14ac:dyDescent="0.3">
      <c r="B285" s="17" t="s">
        <v>405</v>
      </c>
      <c r="C285" s="16" t="s">
        <v>406</v>
      </c>
      <c r="D285" s="33">
        <v>180</v>
      </c>
      <c r="E285" s="34" t="s">
        <v>396</v>
      </c>
      <c r="F285" s="27"/>
      <c r="G285" s="28">
        <f t="shared" si="14"/>
        <v>0</v>
      </c>
    </row>
    <row r="286" spans="2:8" outlineLevel="3" x14ac:dyDescent="0.3">
      <c r="B286" s="17" t="s">
        <v>407</v>
      </c>
      <c r="C286" s="16" t="s">
        <v>408</v>
      </c>
      <c r="D286" s="33">
        <v>9</v>
      </c>
      <c r="E286" s="34" t="s">
        <v>396</v>
      </c>
      <c r="F286" s="27"/>
      <c r="G286" s="28">
        <f t="shared" si="14"/>
        <v>0</v>
      </c>
    </row>
    <row r="287" spans="2:8" ht="41.4" outlineLevel="3" x14ac:dyDescent="0.3">
      <c r="B287" s="17" t="s">
        <v>409</v>
      </c>
      <c r="C287" s="16" t="s">
        <v>410</v>
      </c>
      <c r="D287" s="33">
        <v>3</v>
      </c>
      <c r="E287" s="34" t="s">
        <v>396</v>
      </c>
      <c r="F287" s="27"/>
      <c r="G287" s="28">
        <f t="shared" si="14"/>
        <v>0</v>
      </c>
    </row>
    <row r="288" spans="2:8" ht="41.4" outlineLevel="3" x14ac:dyDescent="0.3">
      <c r="B288" s="17" t="s">
        <v>411</v>
      </c>
      <c r="C288" s="16" t="s">
        <v>412</v>
      </c>
      <c r="D288" s="33">
        <v>3</v>
      </c>
      <c r="E288" s="34" t="s">
        <v>396</v>
      </c>
      <c r="F288" s="27"/>
      <c r="G288" s="28">
        <f t="shared" si="14"/>
        <v>0</v>
      </c>
    </row>
    <row r="289" spans="2:8" ht="27.6" outlineLevel="3" x14ac:dyDescent="0.3">
      <c r="B289" s="17" t="s">
        <v>413</v>
      </c>
      <c r="C289" s="16" t="s">
        <v>414</v>
      </c>
      <c r="D289" s="33">
        <v>1</v>
      </c>
      <c r="E289" s="34" t="s">
        <v>396</v>
      </c>
      <c r="F289" s="27"/>
      <c r="G289" s="28">
        <f t="shared" si="14"/>
        <v>0</v>
      </c>
    </row>
    <row r="290" spans="2:8" ht="27.6" outlineLevel="3" x14ac:dyDescent="0.3">
      <c r="B290" s="17" t="s">
        <v>415</v>
      </c>
      <c r="C290" s="16" t="s">
        <v>416</v>
      </c>
      <c r="D290" s="33">
        <v>2</v>
      </c>
      <c r="E290" s="34" t="s">
        <v>396</v>
      </c>
      <c r="F290" s="27"/>
      <c r="G290" s="28">
        <f t="shared" si="14"/>
        <v>0</v>
      </c>
    </row>
    <row r="291" spans="2:8" ht="27.6" outlineLevel="3" x14ac:dyDescent="0.3">
      <c r="B291" s="17" t="s">
        <v>417</v>
      </c>
      <c r="C291" s="16" t="s">
        <v>418</v>
      </c>
      <c r="D291" s="33">
        <v>8</v>
      </c>
      <c r="E291" s="34" t="s">
        <v>396</v>
      </c>
      <c r="F291" s="27"/>
      <c r="G291" s="28">
        <f t="shared" si="14"/>
        <v>0</v>
      </c>
    </row>
    <row r="292" spans="2:8" outlineLevel="2" x14ac:dyDescent="0.3">
      <c r="B292" s="21" t="s">
        <v>419</v>
      </c>
      <c r="C292" s="22" t="s">
        <v>420</v>
      </c>
      <c r="D292" s="23" t="s">
        <v>268</v>
      </c>
      <c r="E292" s="24" t="s">
        <v>268</v>
      </c>
      <c r="F292" s="25"/>
      <c r="G292" s="26">
        <f>+SUBTOTAL(9,G293:G299)</f>
        <v>0</v>
      </c>
    </row>
    <row r="293" spans="2:8" outlineLevel="3" x14ac:dyDescent="0.3">
      <c r="B293" s="17" t="s">
        <v>421</v>
      </c>
      <c r="C293" s="16" t="s">
        <v>422</v>
      </c>
      <c r="D293" s="27">
        <v>100</v>
      </c>
      <c r="E293" s="18" t="s">
        <v>2265</v>
      </c>
      <c r="F293" s="27"/>
      <c r="G293" s="28">
        <f t="shared" ref="G293:G299" si="15">ROUNDUP(D293*F293,2)</f>
        <v>0</v>
      </c>
      <c r="H293" s="122"/>
    </row>
    <row r="294" spans="2:8" ht="27.6" outlineLevel="3" x14ac:dyDescent="0.3">
      <c r="B294" s="17" t="s">
        <v>423</v>
      </c>
      <c r="C294" s="16" t="s">
        <v>424</v>
      </c>
      <c r="D294" s="27">
        <v>10</v>
      </c>
      <c r="E294" s="18" t="s">
        <v>581</v>
      </c>
      <c r="F294" s="27"/>
      <c r="G294" s="28">
        <f t="shared" si="15"/>
        <v>0</v>
      </c>
      <c r="H294" s="122"/>
    </row>
    <row r="295" spans="2:8" ht="27.6" outlineLevel="3" x14ac:dyDescent="0.3">
      <c r="B295" s="17" t="s">
        <v>425</v>
      </c>
      <c r="C295" s="16" t="s">
        <v>426</v>
      </c>
      <c r="D295" s="27">
        <v>170</v>
      </c>
      <c r="E295" s="32" t="s">
        <v>10</v>
      </c>
      <c r="F295" s="27"/>
      <c r="G295" s="28">
        <f t="shared" si="15"/>
        <v>0</v>
      </c>
    </row>
    <row r="296" spans="2:8" ht="41.4" outlineLevel="3" x14ac:dyDescent="0.3">
      <c r="B296" s="17" t="s">
        <v>427</v>
      </c>
      <c r="C296" s="16" t="s">
        <v>428</v>
      </c>
      <c r="D296" s="27">
        <f>(145+(12*2))*0.1</f>
        <v>16.900000000000002</v>
      </c>
      <c r="E296" s="27" t="s">
        <v>13</v>
      </c>
      <c r="F296" s="27"/>
      <c r="G296" s="28">
        <f t="shared" si="15"/>
        <v>0</v>
      </c>
    </row>
    <row r="297" spans="2:8" ht="27.6" outlineLevel="3" x14ac:dyDescent="0.3">
      <c r="B297" s="17" t="s">
        <v>429</v>
      </c>
      <c r="C297" s="16" t="s">
        <v>430</v>
      </c>
      <c r="D297" s="27">
        <f>(145+(12*2))</f>
        <v>169</v>
      </c>
      <c r="E297" s="35" t="s">
        <v>10</v>
      </c>
      <c r="F297" s="27"/>
      <c r="G297" s="28">
        <f t="shared" si="15"/>
        <v>0</v>
      </c>
    </row>
    <row r="298" spans="2:8" ht="55.2" outlineLevel="3" x14ac:dyDescent="0.3">
      <c r="B298" s="17" t="s">
        <v>431</v>
      </c>
      <c r="C298" s="16" t="s">
        <v>432</v>
      </c>
      <c r="D298" s="27">
        <f>275</f>
        <v>275</v>
      </c>
      <c r="E298" s="18" t="s">
        <v>13</v>
      </c>
      <c r="F298" s="19"/>
      <c r="G298" s="28">
        <f t="shared" si="15"/>
        <v>0</v>
      </c>
    </row>
    <row r="299" spans="2:8" outlineLevel="3" x14ac:dyDescent="0.3">
      <c r="B299" s="17" t="s">
        <v>433</v>
      </c>
      <c r="C299" s="16" t="s">
        <v>434</v>
      </c>
      <c r="D299" s="36">
        <f>910</f>
        <v>910</v>
      </c>
      <c r="E299" s="37" t="s">
        <v>10</v>
      </c>
      <c r="F299" s="19"/>
      <c r="G299" s="28">
        <f t="shared" si="15"/>
        <v>0</v>
      </c>
    </row>
    <row r="300" spans="2:8" outlineLevel="2" x14ac:dyDescent="0.3">
      <c r="B300" s="21" t="s">
        <v>435</v>
      </c>
      <c r="C300" s="22" t="s">
        <v>436</v>
      </c>
      <c r="D300" s="23" t="s">
        <v>268</v>
      </c>
      <c r="E300" s="24" t="s">
        <v>268</v>
      </c>
      <c r="F300" s="25"/>
      <c r="G300" s="26">
        <f>+SUBTOTAL(9,G301:G304)</f>
        <v>0</v>
      </c>
    </row>
    <row r="301" spans="2:8" ht="41.4" outlineLevel="3" x14ac:dyDescent="0.3">
      <c r="B301" s="17" t="s">
        <v>437</v>
      </c>
      <c r="C301" s="38" t="s">
        <v>438</v>
      </c>
      <c r="D301" s="39">
        <f>(1.93+1.93+0.88+2.25)*5</f>
        <v>34.950000000000003</v>
      </c>
      <c r="E301" s="40" t="s">
        <v>10</v>
      </c>
      <c r="F301" s="19"/>
      <c r="G301" s="28">
        <f t="shared" ref="G301:G304" si="16">ROUNDUP(D301*F301,2)</f>
        <v>0</v>
      </c>
    </row>
    <row r="302" spans="2:8" ht="41.4" outlineLevel="3" x14ac:dyDescent="0.3">
      <c r="B302" s="17" t="s">
        <v>439</v>
      </c>
      <c r="C302" s="16" t="s">
        <v>440</v>
      </c>
      <c r="D302" s="27">
        <v>212.54760000000005</v>
      </c>
      <c r="E302" s="40" t="s">
        <v>10</v>
      </c>
      <c r="F302" s="19"/>
      <c r="G302" s="28">
        <f t="shared" si="16"/>
        <v>0</v>
      </c>
    </row>
    <row r="303" spans="2:8" ht="41.4" outlineLevel="3" x14ac:dyDescent="0.3">
      <c r="B303" s="17" t="s">
        <v>441</v>
      </c>
      <c r="C303" s="16" t="s">
        <v>442</v>
      </c>
      <c r="D303" s="27">
        <v>303.36349999999999</v>
      </c>
      <c r="E303" s="40" t="s">
        <v>10</v>
      </c>
      <c r="F303" s="19"/>
      <c r="G303" s="28">
        <f t="shared" si="16"/>
        <v>0</v>
      </c>
    </row>
    <row r="304" spans="2:8" ht="27.6" outlineLevel="3" x14ac:dyDescent="0.3">
      <c r="B304" s="17" t="s">
        <v>443</v>
      </c>
      <c r="C304" s="16" t="s">
        <v>444</v>
      </c>
      <c r="D304" s="27">
        <f>+D302</f>
        <v>212.54760000000005</v>
      </c>
      <c r="E304" s="40" t="s">
        <v>10</v>
      </c>
      <c r="F304" s="19"/>
      <c r="G304" s="28">
        <f t="shared" si="16"/>
        <v>0</v>
      </c>
    </row>
    <row r="305" spans="2:8" outlineLevel="2" x14ac:dyDescent="0.3">
      <c r="B305" s="21" t="s">
        <v>445</v>
      </c>
      <c r="C305" s="22" t="s">
        <v>446</v>
      </c>
      <c r="D305" s="23" t="s">
        <v>268</v>
      </c>
      <c r="E305" s="24" t="s">
        <v>268</v>
      </c>
      <c r="F305" s="25"/>
      <c r="G305" s="26">
        <f>+SUBTOTAL(9,G306:G311)</f>
        <v>0</v>
      </c>
    </row>
    <row r="306" spans="2:8" ht="27.6" outlineLevel="3" x14ac:dyDescent="0.3">
      <c r="B306" s="17" t="s">
        <v>447</v>
      </c>
      <c r="C306" s="16" t="s">
        <v>448</v>
      </c>
      <c r="D306" s="27">
        <f>41.45</f>
        <v>41.45</v>
      </c>
      <c r="E306" s="18" t="s">
        <v>10</v>
      </c>
      <c r="F306" s="19"/>
      <c r="G306" s="28">
        <f t="shared" ref="G306:G311" si="17">ROUNDUP(D306*F306,2)</f>
        <v>0</v>
      </c>
    </row>
    <row r="307" spans="2:8" ht="41.4" outlineLevel="3" x14ac:dyDescent="0.3">
      <c r="B307" s="17" t="s">
        <v>449</v>
      </c>
      <c r="C307" s="16" t="s">
        <v>450</v>
      </c>
      <c r="D307" s="27">
        <f>132.75</f>
        <v>132.75</v>
      </c>
      <c r="E307" s="18" t="s">
        <v>10</v>
      </c>
      <c r="F307" s="19"/>
      <c r="G307" s="28">
        <f t="shared" si="17"/>
        <v>0</v>
      </c>
    </row>
    <row r="308" spans="2:8" ht="27.6" outlineLevel="3" x14ac:dyDescent="0.3">
      <c r="B308" s="17" t="s">
        <v>451</v>
      </c>
      <c r="C308" s="16" t="s">
        <v>452</v>
      </c>
      <c r="D308" s="27">
        <f>2311.25</f>
        <v>2311.25</v>
      </c>
      <c r="E308" s="18" t="s">
        <v>10</v>
      </c>
      <c r="F308" s="19"/>
      <c r="G308" s="28">
        <f t="shared" si="17"/>
        <v>0</v>
      </c>
    </row>
    <row r="309" spans="2:8" ht="27.6" outlineLevel="3" x14ac:dyDescent="0.3">
      <c r="B309" s="17" t="s">
        <v>453</v>
      </c>
      <c r="C309" s="16" t="s">
        <v>454</v>
      </c>
      <c r="D309" s="27">
        <f>(8.45*3.275*3)*0.5</f>
        <v>41.510624999999997</v>
      </c>
      <c r="E309" s="18" t="s">
        <v>10</v>
      </c>
      <c r="F309" s="19"/>
      <c r="G309" s="28">
        <f t="shared" si="17"/>
        <v>0</v>
      </c>
    </row>
    <row r="310" spans="2:8" ht="28.2" outlineLevel="3" x14ac:dyDescent="0.3">
      <c r="B310" s="17" t="s">
        <v>455</v>
      </c>
      <c r="C310" s="41" t="s">
        <v>456</v>
      </c>
      <c r="D310" s="42">
        <v>5</v>
      </c>
      <c r="E310" s="18" t="s">
        <v>581</v>
      </c>
      <c r="F310" s="19"/>
      <c r="G310" s="28">
        <f t="shared" si="17"/>
        <v>0</v>
      </c>
      <c r="H310" s="122"/>
    </row>
    <row r="311" spans="2:8" outlineLevel="3" x14ac:dyDescent="0.3">
      <c r="B311" s="17" t="s">
        <v>457</v>
      </c>
      <c r="C311" s="41" t="s">
        <v>1073</v>
      </c>
      <c r="D311" s="42">
        <v>408</v>
      </c>
      <c r="E311" s="18" t="s">
        <v>28</v>
      </c>
      <c r="F311" s="19"/>
      <c r="G311" s="28">
        <f t="shared" si="17"/>
        <v>0</v>
      </c>
    </row>
    <row r="312" spans="2:8" outlineLevel="2" x14ac:dyDescent="0.3">
      <c r="B312" s="21" t="s">
        <v>458</v>
      </c>
      <c r="C312" s="22" t="s">
        <v>459</v>
      </c>
      <c r="D312" s="23" t="s">
        <v>268</v>
      </c>
      <c r="E312" s="24" t="s">
        <v>268</v>
      </c>
      <c r="F312" s="25"/>
      <c r="G312" s="26">
        <f>+SUBTOTAL(9,G313:G326)</f>
        <v>0</v>
      </c>
    </row>
    <row r="313" spans="2:8" ht="69" outlineLevel="3" x14ac:dyDescent="0.3">
      <c r="B313" s="17" t="s">
        <v>460</v>
      </c>
      <c r="C313" s="16" t="s">
        <v>1067</v>
      </c>
      <c r="D313" s="27">
        <v>9</v>
      </c>
      <c r="E313" s="18" t="s">
        <v>471</v>
      </c>
      <c r="F313" s="19"/>
      <c r="G313" s="28">
        <f t="shared" ref="G313:G325" si="18">ROUNDUP(D313*F313,2)</f>
        <v>0</v>
      </c>
    </row>
    <row r="314" spans="2:8" ht="69" outlineLevel="3" x14ac:dyDescent="0.3">
      <c r="B314" s="17" t="s">
        <v>461</v>
      </c>
      <c r="C314" s="16" t="s">
        <v>462</v>
      </c>
      <c r="D314" s="27">
        <v>1</v>
      </c>
      <c r="E314" s="18" t="s">
        <v>2282</v>
      </c>
      <c r="F314" s="19"/>
      <c r="G314" s="28">
        <f t="shared" si="18"/>
        <v>0</v>
      </c>
      <c r="H314" s="122"/>
    </row>
    <row r="315" spans="2:8" ht="27.6" outlineLevel="3" x14ac:dyDescent="0.3">
      <c r="B315" s="17" t="s">
        <v>463</v>
      </c>
      <c r="C315" s="16" t="s">
        <v>464</v>
      </c>
      <c r="D315" s="27">
        <f>3*4*6*6</f>
        <v>432</v>
      </c>
      <c r="E315" s="18" t="s">
        <v>13</v>
      </c>
      <c r="F315" s="19"/>
      <c r="G315" s="28">
        <f t="shared" si="18"/>
        <v>0</v>
      </c>
    </row>
    <row r="316" spans="2:8" ht="41.4" outlineLevel="3" x14ac:dyDescent="0.3">
      <c r="B316" s="17" t="s">
        <v>465</v>
      </c>
      <c r="C316" s="16" t="s">
        <v>1069</v>
      </c>
      <c r="D316" s="27">
        <v>9</v>
      </c>
      <c r="E316" s="18" t="s">
        <v>471</v>
      </c>
      <c r="F316" s="19"/>
      <c r="G316" s="28">
        <f t="shared" si="18"/>
        <v>0</v>
      </c>
    </row>
    <row r="317" spans="2:8" ht="124.2" outlineLevel="3" x14ac:dyDescent="0.3">
      <c r="B317" s="17" t="s">
        <v>466</v>
      </c>
      <c r="C317" s="16" t="s">
        <v>1068</v>
      </c>
      <c r="D317" s="27">
        <v>6</v>
      </c>
      <c r="E317" s="18" t="s">
        <v>471</v>
      </c>
      <c r="F317" s="19"/>
      <c r="G317" s="28">
        <f t="shared" si="18"/>
        <v>0</v>
      </c>
    </row>
    <row r="318" spans="2:8" ht="27.6" outlineLevel="3" x14ac:dyDescent="0.3">
      <c r="B318" s="17" t="s">
        <v>469</v>
      </c>
      <c r="C318" s="16" t="s">
        <v>467</v>
      </c>
      <c r="D318" s="27">
        <v>60</v>
      </c>
      <c r="E318" s="18" t="s">
        <v>468</v>
      </c>
      <c r="F318" s="19"/>
      <c r="G318" s="28">
        <f t="shared" si="18"/>
        <v>0</v>
      </c>
    </row>
    <row r="319" spans="2:8" ht="27.6" outlineLevel="3" x14ac:dyDescent="0.3">
      <c r="B319" s="17" t="s">
        <v>472</v>
      </c>
      <c r="C319" s="16" t="s">
        <v>470</v>
      </c>
      <c r="D319" s="27">
        <v>5</v>
      </c>
      <c r="E319" s="18" t="s">
        <v>471</v>
      </c>
      <c r="F319" s="19"/>
      <c r="G319" s="28">
        <f t="shared" si="18"/>
        <v>0</v>
      </c>
    </row>
    <row r="320" spans="2:8" outlineLevel="3" x14ac:dyDescent="0.3">
      <c r="B320" s="17" t="s">
        <v>475</v>
      </c>
      <c r="C320" s="16" t="s">
        <v>473</v>
      </c>
      <c r="D320" s="27">
        <f>100*5</f>
        <v>500</v>
      </c>
      <c r="E320" s="18" t="s">
        <v>474</v>
      </c>
      <c r="F320" s="19"/>
      <c r="G320" s="28">
        <f t="shared" si="18"/>
        <v>0</v>
      </c>
    </row>
    <row r="321" spans="2:8" ht="27.6" outlineLevel="3" x14ac:dyDescent="0.3">
      <c r="B321" s="17" t="s">
        <v>478</v>
      </c>
      <c r="C321" s="38" t="s">
        <v>476</v>
      </c>
      <c r="D321" s="43">
        <v>15</v>
      </c>
      <c r="E321" s="34" t="s">
        <v>477</v>
      </c>
      <c r="F321" s="19"/>
      <c r="G321" s="28">
        <f t="shared" si="18"/>
        <v>0</v>
      </c>
    </row>
    <row r="322" spans="2:8" ht="27.6" outlineLevel="3" x14ac:dyDescent="0.3">
      <c r="B322" s="17" t="s">
        <v>480</v>
      </c>
      <c r="C322" s="38" t="s">
        <v>479</v>
      </c>
      <c r="D322" s="43">
        <f>1336.9195*0.5</f>
        <v>668.45974999999999</v>
      </c>
      <c r="E322" s="34" t="s">
        <v>10</v>
      </c>
      <c r="F322" s="19"/>
      <c r="G322" s="28">
        <f t="shared" si="18"/>
        <v>0</v>
      </c>
    </row>
    <row r="323" spans="2:8" ht="27.6" outlineLevel="3" x14ac:dyDescent="0.3">
      <c r="B323" s="17" t="s">
        <v>482</v>
      </c>
      <c r="C323" s="16" t="s">
        <v>481</v>
      </c>
      <c r="D323" s="33">
        <v>150</v>
      </c>
      <c r="E323" s="32" t="s">
        <v>2265</v>
      </c>
      <c r="F323" s="19"/>
      <c r="G323" s="28">
        <f t="shared" si="18"/>
        <v>0</v>
      </c>
      <c r="H323" s="122"/>
    </row>
    <row r="324" spans="2:8" outlineLevel="3" x14ac:dyDescent="0.3">
      <c r="B324" s="17" t="s">
        <v>2263</v>
      </c>
      <c r="C324" s="16" t="s">
        <v>2264</v>
      </c>
      <c r="D324" s="33">
        <f>5*10</f>
        <v>50</v>
      </c>
      <c r="E324" s="32" t="s">
        <v>2265</v>
      </c>
      <c r="F324" s="19"/>
      <c r="G324" s="28">
        <f t="shared" si="18"/>
        <v>0</v>
      </c>
    </row>
    <row r="325" spans="2:8" outlineLevel="3" x14ac:dyDescent="0.3">
      <c r="B325" s="17" t="s">
        <v>2268</v>
      </c>
      <c r="C325" s="16" t="s">
        <v>2269</v>
      </c>
      <c r="D325" s="36">
        <f>1210*4</f>
        <v>4840</v>
      </c>
      <c r="E325" s="37" t="s">
        <v>10</v>
      </c>
      <c r="F325" s="19"/>
      <c r="G325" s="28">
        <f t="shared" si="18"/>
        <v>0</v>
      </c>
    </row>
    <row r="326" spans="2:8" outlineLevel="3" x14ac:dyDescent="0.3">
      <c r="B326" s="29"/>
      <c r="C326" s="16"/>
      <c r="D326" s="17"/>
      <c r="E326" s="18"/>
      <c r="F326" s="19"/>
      <c r="G326" s="20"/>
    </row>
    <row r="327" spans="2:8" outlineLevel="2" x14ac:dyDescent="0.3">
      <c r="B327" s="29"/>
      <c r="C327" s="16"/>
      <c r="D327" s="17"/>
      <c r="E327" s="18"/>
      <c r="F327" s="19"/>
      <c r="G327" s="20"/>
    </row>
    <row r="328" spans="2:8" outlineLevel="1" x14ac:dyDescent="0.3">
      <c r="B328" s="44">
        <v>1.4</v>
      </c>
      <c r="C328" s="38" t="s">
        <v>1070</v>
      </c>
      <c r="D328" s="17"/>
      <c r="E328" s="18"/>
      <c r="F328" s="39"/>
      <c r="G328" s="20">
        <f>SUBTOTAL(9,G329:G340)</f>
        <v>0</v>
      </c>
    </row>
    <row r="329" spans="2:8" outlineLevel="2" x14ac:dyDescent="0.3">
      <c r="B329" s="21" t="s">
        <v>1102</v>
      </c>
      <c r="C329" s="22" t="s">
        <v>557</v>
      </c>
      <c r="D329" s="23"/>
      <c r="E329" s="24"/>
      <c r="F329" s="25"/>
      <c r="G329" s="26">
        <f>+SUBTOTAL(9,G330:G331)</f>
        <v>0</v>
      </c>
    </row>
    <row r="330" spans="2:8" ht="110.4" outlineLevel="3" x14ac:dyDescent="0.3">
      <c r="B330" s="45" t="s">
        <v>1103</v>
      </c>
      <c r="C330" s="46" t="s">
        <v>559</v>
      </c>
      <c r="D330" s="47">
        <f>(2.93+0.9)*5</f>
        <v>19.149999999999999</v>
      </c>
      <c r="E330" s="18" t="s">
        <v>28</v>
      </c>
      <c r="F330" s="42"/>
      <c r="G330" s="28">
        <f t="shared" ref="G330:G331" si="19">ROUNDUP(D330*F330,2)</f>
        <v>0</v>
      </c>
    </row>
    <row r="331" spans="2:8" ht="110.4" outlineLevel="3" x14ac:dyDescent="0.3">
      <c r="B331" s="45" t="s">
        <v>1104</v>
      </c>
      <c r="C331" s="46" t="s">
        <v>561</v>
      </c>
      <c r="D331" s="47">
        <f>(4.57+0.41)*5</f>
        <v>24.900000000000002</v>
      </c>
      <c r="E331" s="18" t="s">
        <v>28</v>
      </c>
      <c r="F331" s="42"/>
      <c r="G331" s="28">
        <f t="shared" si="19"/>
        <v>0</v>
      </c>
    </row>
    <row r="332" spans="2:8" outlineLevel="2" x14ac:dyDescent="0.3">
      <c r="B332" s="21" t="s">
        <v>1105</v>
      </c>
      <c r="C332" s="22" t="s">
        <v>563</v>
      </c>
      <c r="D332" s="23"/>
      <c r="E332" s="24"/>
      <c r="F332" s="25"/>
      <c r="G332" s="26">
        <f>+SUBTOTAL(9,G333:G334)</f>
        <v>0</v>
      </c>
    </row>
    <row r="333" spans="2:8" ht="110.4" outlineLevel="3" x14ac:dyDescent="0.3">
      <c r="B333" s="45" t="s">
        <v>1106</v>
      </c>
      <c r="C333" s="46" t="s">
        <v>565</v>
      </c>
      <c r="D333" s="47">
        <v>2.4</v>
      </c>
      <c r="E333" s="18" t="s">
        <v>28</v>
      </c>
      <c r="F333" s="42"/>
      <c r="G333" s="28">
        <f t="shared" ref="G333:G334" si="20">ROUNDUP(D333*F333,2)</f>
        <v>0</v>
      </c>
    </row>
    <row r="334" spans="2:8" ht="124.2" outlineLevel="3" x14ac:dyDescent="0.3">
      <c r="B334" s="45" t="s">
        <v>1107</v>
      </c>
      <c r="C334" s="46" t="s">
        <v>567</v>
      </c>
      <c r="D334" s="47">
        <f>0.7 +6.05</f>
        <v>6.75</v>
      </c>
      <c r="E334" s="18" t="s">
        <v>28</v>
      </c>
      <c r="F334" s="42"/>
      <c r="G334" s="28">
        <f t="shared" si="20"/>
        <v>0</v>
      </c>
    </row>
    <row r="335" spans="2:8" outlineLevel="2" x14ac:dyDescent="0.3">
      <c r="B335" s="21" t="s">
        <v>1108</v>
      </c>
      <c r="C335" s="22" t="s">
        <v>569</v>
      </c>
      <c r="D335" s="23"/>
      <c r="E335" s="24"/>
      <c r="F335" s="25"/>
      <c r="G335" s="26">
        <f>+SUBTOTAL(9,G336:G338)</f>
        <v>0</v>
      </c>
    </row>
    <row r="336" spans="2:8" ht="69" outlineLevel="3" x14ac:dyDescent="0.3">
      <c r="B336" s="45" t="s">
        <v>1109</v>
      </c>
      <c r="C336" s="46" t="s">
        <v>571</v>
      </c>
      <c r="D336" s="47">
        <f>(4*2)*4+5.05+5.05</f>
        <v>42.099999999999994</v>
      </c>
      <c r="E336" s="18" t="s">
        <v>28</v>
      </c>
      <c r="F336" s="42"/>
      <c r="G336" s="28">
        <f t="shared" ref="G336:G338" si="21">ROUNDUP(D336*F336,2)</f>
        <v>0</v>
      </c>
    </row>
    <row r="337" spans="2:7" ht="82.8" outlineLevel="3" x14ac:dyDescent="0.3">
      <c r="B337" s="45" t="s">
        <v>1110</v>
      </c>
      <c r="C337" s="46" t="s">
        <v>573</v>
      </c>
      <c r="D337" s="47">
        <f>(4*2)*4+5.05+5.05</f>
        <v>42.099999999999994</v>
      </c>
      <c r="E337" s="18" t="s">
        <v>28</v>
      </c>
      <c r="F337" s="42"/>
      <c r="G337" s="28">
        <f t="shared" si="21"/>
        <v>0</v>
      </c>
    </row>
    <row r="338" spans="2:7" ht="82.8" outlineLevel="3" x14ac:dyDescent="0.3">
      <c r="B338" s="45" t="s">
        <v>1111</v>
      </c>
      <c r="C338" s="46" t="s">
        <v>575</v>
      </c>
      <c r="D338" s="47">
        <f>(4*2)*4+5.05+5.05</f>
        <v>42.099999999999994</v>
      </c>
      <c r="E338" s="18" t="s">
        <v>28</v>
      </c>
      <c r="F338" s="42"/>
      <c r="G338" s="28">
        <f t="shared" si="21"/>
        <v>0</v>
      </c>
    </row>
    <row r="339" spans="2:7" outlineLevel="3" x14ac:dyDescent="0.3">
      <c r="B339" s="29"/>
      <c r="C339" s="16"/>
      <c r="D339" s="17"/>
      <c r="E339" s="18"/>
      <c r="F339" s="19"/>
      <c r="G339" s="20"/>
    </row>
    <row r="340" spans="2:7" outlineLevel="2" x14ac:dyDescent="0.3">
      <c r="B340" s="29"/>
      <c r="C340" s="16"/>
      <c r="D340" s="17"/>
      <c r="E340" s="18"/>
      <c r="F340" s="19"/>
      <c r="G340" s="20"/>
    </row>
    <row r="341" spans="2:7" outlineLevel="1" x14ac:dyDescent="0.3">
      <c r="B341" s="48"/>
      <c r="C341" s="49"/>
      <c r="D341" s="50"/>
      <c r="E341" s="51"/>
      <c r="F341" s="52"/>
      <c r="G341" s="53"/>
    </row>
    <row r="342" spans="2:7" ht="15.6" x14ac:dyDescent="0.3">
      <c r="B342" s="10">
        <v>2</v>
      </c>
      <c r="C342" s="11" t="s">
        <v>1099</v>
      </c>
      <c r="D342" s="12"/>
      <c r="E342" s="13"/>
      <c r="F342" s="12"/>
      <c r="G342" s="14">
        <f>+SUBTOTAL(9,G343:G957)</f>
        <v>0</v>
      </c>
    </row>
    <row r="343" spans="2:7" outlineLevel="1" x14ac:dyDescent="0.3">
      <c r="B343" s="54">
        <v>2.1</v>
      </c>
      <c r="C343" s="55" t="s">
        <v>1100</v>
      </c>
      <c r="D343" s="17"/>
      <c r="E343" s="18"/>
      <c r="F343" s="56"/>
      <c r="G343" s="20">
        <f>SUBTOTAL(9,G344:G655)</f>
        <v>0</v>
      </c>
    </row>
    <row r="344" spans="2:7" outlineLevel="2" x14ac:dyDescent="0.3">
      <c r="B344" s="21" t="s">
        <v>483</v>
      </c>
      <c r="C344" s="22" t="s">
        <v>824</v>
      </c>
      <c r="D344" s="23"/>
      <c r="E344" s="24"/>
      <c r="F344" s="25"/>
      <c r="G344" s="26">
        <f>+SUBTOTAL(9,G345:G424)</f>
        <v>0</v>
      </c>
    </row>
    <row r="345" spans="2:7" ht="55.2" outlineLevel="3" x14ac:dyDescent="0.3">
      <c r="B345" s="28" t="s">
        <v>484</v>
      </c>
      <c r="C345" s="57" t="s">
        <v>825</v>
      </c>
      <c r="D345" s="28">
        <v>15</v>
      </c>
      <c r="E345" s="28" t="s">
        <v>826</v>
      </c>
      <c r="F345" s="28"/>
      <c r="G345" s="28">
        <f t="shared" ref="G345:G408" si="22">ROUNDUP(D345*F345,2)</f>
        <v>0</v>
      </c>
    </row>
    <row r="346" spans="2:7" ht="41.4" outlineLevel="3" x14ac:dyDescent="0.3">
      <c r="B346" s="28" t="s">
        <v>485</v>
      </c>
      <c r="C346" s="57" t="s">
        <v>827</v>
      </c>
      <c r="D346" s="28">
        <v>15</v>
      </c>
      <c r="E346" s="28" t="s">
        <v>826</v>
      </c>
      <c r="F346" s="28"/>
      <c r="G346" s="28">
        <f t="shared" si="22"/>
        <v>0</v>
      </c>
    </row>
    <row r="347" spans="2:7" ht="55.2" outlineLevel="3" x14ac:dyDescent="0.3">
      <c r="B347" s="28" t="s">
        <v>486</v>
      </c>
      <c r="C347" s="57" t="s">
        <v>828</v>
      </c>
      <c r="D347" s="28">
        <v>40</v>
      </c>
      <c r="E347" s="28" t="s">
        <v>826</v>
      </c>
      <c r="F347" s="28"/>
      <c r="G347" s="28">
        <f t="shared" si="22"/>
        <v>0</v>
      </c>
    </row>
    <row r="348" spans="2:7" ht="41.4" outlineLevel="3" x14ac:dyDescent="0.3">
      <c r="B348" s="28" t="s">
        <v>487</v>
      </c>
      <c r="C348" s="57" t="s">
        <v>829</v>
      </c>
      <c r="D348" s="28">
        <v>33</v>
      </c>
      <c r="E348" s="28" t="s">
        <v>826</v>
      </c>
      <c r="F348" s="28"/>
      <c r="G348" s="28">
        <f t="shared" si="22"/>
        <v>0</v>
      </c>
    </row>
    <row r="349" spans="2:7" ht="41.4" outlineLevel="3" x14ac:dyDescent="0.3">
      <c r="B349" s="28" t="s">
        <v>488</v>
      </c>
      <c r="C349" s="57" t="s">
        <v>830</v>
      </c>
      <c r="D349" s="28">
        <v>20</v>
      </c>
      <c r="E349" s="28" t="s">
        <v>826</v>
      </c>
      <c r="F349" s="28"/>
      <c r="G349" s="28">
        <f t="shared" si="22"/>
        <v>0</v>
      </c>
    </row>
    <row r="350" spans="2:7" ht="41.4" outlineLevel="3" x14ac:dyDescent="0.3">
      <c r="B350" s="28" t="s">
        <v>489</v>
      </c>
      <c r="C350" s="57" t="s">
        <v>831</v>
      </c>
      <c r="D350" s="28">
        <v>35</v>
      </c>
      <c r="E350" s="28" t="s">
        <v>826</v>
      </c>
      <c r="F350" s="28"/>
      <c r="G350" s="28">
        <f t="shared" si="22"/>
        <v>0</v>
      </c>
    </row>
    <row r="351" spans="2:7" ht="41.4" outlineLevel="3" x14ac:dyDescent="0.3">
      <c r="B351" s="28" t="s">
        <v>490</v>
      </c>
      <c r="C351" s="57" t="s">
        <v>832</v>
      </c>
      <c r="D351" s="28">
        <v>50</v>
      </c>
      <c r="E351" s="28" t="s">
        <v>826</v>
      </c>
      <c r="F351" s="28"/>
      <c r="G351" s="28">
        <f t="shared" si="22"/>
        <v>0</v>
      </c>
    </row>
    <row r="352" spans="2:7" ht="41.4" outlineLevel="3" x14ac:dyDescent="0.3">
      <c r="B352" s="28" t="s">
        <v>491</v>
      </c>
      <c r="C352" s="57" t="s">
        <v>833</v>
      </c>
      <c r="D352" s="28">
        <v>40</v>
      </c>
      <c r="E352" s="28" t="s">
        <v>826</v>
      </c>
      <c r="F352" s="28"/>
      <c r="G352" s="28">
        <f t="shared" si="22"/>
        <v>0</v>
      </c>
    </row>
    <row r="353" spans="2:7" ht="41.4" outlineLevel="3" x14ac:dyDescent="0.3">
      <c r="B353" s="28" t="s">
        <v>492</v>
      </c>
      <c r="C353" s="57" t="s">
        <v>834</v>
      </c>
      <c r="D353" s="28">
        <v>35</v>
      </c>
      <c r="E353" s="28" t="s">
        <v>826</v>
      </c>
      <c r="F353" s="28"/>
      <c r="G353" s="28">
        <f t="shared" si="22"/>
        <v>0</v>
      </c>
    </row>
    <row r="354" spans="2:7" ht="55.2" outlineLevel="3" x14ac:dyDescent="0.3">
      <c r="B354" s="28" t="s">
        <v>493</v>
      </c>
      <c r="C354" s="57" t="s">
        <v>835</v>
      </c>
      <c r="D354" s="28">
        <v>35</v>
      </c>
      <c r="E354" s="28" t="s">
        <v>826</v>
      </c>
      <c r="F354" s="28"/>
      <c r="G354" s="28">
        <f t="shared" si="22"/>
        <v>0</v>
      </c>
    </row>
    <row r="355" spans="2:7" ht="41.4" outlineLevel="3" x14ac:dyDescent="0.3">
      <c r="B355" s="28" t="s">
        <v>494</v>
      </c>
      <c r="C355" s="57" t="s">
        <v>836</v>
      </c>
      <c r="D355" s="28">
        <v>279</v>
      </c>
      <c r="E355" s="28" t="s">
        <v>826</v>
      </c>
      <c r="F355" s="28"/>
      <c r="G355" s="28">
        <f t="shared" si="22"/>
        <v>0</v>
      </c>
    </row>
    <row r="356" spans="2:7" ht="55.2" outlineLevel="3" x14ac:dyDescent="0.3">
      <c r="B356" s="28" t="s">
        <v>495</v>
      </c>
      <c r="C356" s="57" t="s">
        <v>837</v>
      </c>
      <c r="D356" s="28">
        <v>20</v>
      </c>
      <c r="E356" s="28" t="s">
        <v>826</v>
      </c>
      <c r="F356" s="28"/>
      <c r="G356" s="28">
        <f t="shared" si="22"/>
        <v>0</v>
      </c>
    </row>
    <row r="357" spans="2:7" ht="55.2" outlineLevel="3" x14ac:dyDescent="0.3">
      <c r="B357" s="28" t="s">
        <v>496</v>
      </c>
      <c r="C357" s="57" t="s">
        <v>838</v>
      </c>
      <c r="D357" s="28">
        <v>20</v>
      </c>
      <c r="E357" s="28" t="s">
        <v>826</v>
      </c>
      <c r="F357" s="28"/>
      <c r="G357" s="28">
        <f t="shared" si="22"/>
        <v>0</v>
      </c>
    </row>
    <row r="358" spans="2:7" ht="55.2" outlineLevel="3" x14ac:dyDescent="0.3">
      <c r="B358" s="28" t="s">
        <v>1179</v>
      </c>
      <c r="C358" s="57" t="s">
        <v>839</v>
      </c>
      <c r="D358" s="28">
        <v>27</v>
      </c>
      <c r="E358" s="28" t="s">
        <v>826</v>
      </c>
      <c r="F358" s="28"/>
      <c r="G358" s="28">
        <f t="shared" si="22"/>
        <v>0</v>
      </c>
    </row>
    <row r="359" spans="2:7" ht="55.2" outlineLevel="3" x14ac:dyDescent="0.3">
      <c r="B359" s="28" t="s">
        <v>1180</v>
      </c>
      <c r="C359" s="57" t="s">
        <v>840</v>
      </c>
      <c r="D359" s="28">
        <v>33</v>
      </c>
      <c r="E359" s="28" t="s">
        <v>826</v>
      </c>
      <c r="F359" s="28"/>
      <c r="G359" s="28">
        <f t="shared" si="22"/>
        <v>0</v>
      </c>
    </row>
    <row r="360" spans="2:7" ht="41.4" outlineLevel="3" x14ac:dyDescent="0.3">
      <c r="B360" s="28" t="s">
        <v>1181</v>
      </c>
      <c r="C360" s="57" t="s">
        <v>841</v>
      </c>
      <c r="D360" s="28">
        <v>33</v>
      </c>
      <c r="E360" s="28" t="s">
        <v>826</v>
      </c>
      <c r="F360" s="28"/>
      <c r="G360" s="28">
        <f t="shared" si="22"/>
        <v>0</v>
      </c>
    </row>
    <row r="361" spans="2:7" ht="41.4" outlineLevel="3" x14ac:dyDescent="0.3">
      <c r="B361" s="28" t="s">
        <v>1182</v>
      </c>
      <c r="C361" s="57" t="s">
        <v>842</v>
      </c>
      <c r="D361" s="28">
        <v>35</v>
      </c>
      <c r="E361" s="28" t="s">
        <v>826</v>
      </c>
      <c r="F361" s="28"/>
      <c r="G361" s="28">
        <f t="shared" si="22"/>
        <v>0</v>
      </c>
    </row>
    <row r="362" spans="2:7" ht="41.4" outlineLevel="3" x14ac:dyDescent="0.3">
      <c r="B362" s="28" t="s">
        <v>1183</v>
      </c>
      <c r="C362" s="57" t="s">
        <v>843</v>
      </c>
      <c r="D362" s="28">
        <v>35</v>
      </c>
      <c r="E362" s="28" t="s">
        <v>826</v>
      </c>
      <c r="F362" s="28"/>
      <c r="G362" s="28">
        <f t="shared" si="22"/>
        <v>0</v>
      </c>
    </row>
    <row r="363" spans="2:7" ht="41.4" outlineLevel="3" x14ac:dyDescent="0.3">
      <c r="B363" s="28" t="s">
        <v>1184</v>
      </c>
      <c r="C363" s="57" t="s">
        <v>844</v>
      </c>
      <c r="D363" s="28">
        <v>35</v>
      </c>
      <c r="E363" s="28" t="s">
        <v>826</v>
      </c>
      <c r="F363" s="28"/>
      <c r="G363" s="28">
        <f t="shared" si="22"/>
        <v>0</v>
      </c>
    </row>
    <row r="364" spans="2:7" ht="41.4" outlineLevel="3" x14ac:dyDescent="0.3">
      <c r="B364" s="28" t="s">
        <v>1185</v>
      </c>
      <c r="C364" s="57" t="s">
        <v>845</v>
      </c>
      <c r="D364" s="28">
        <v>50</v>
      </c>
      <c r="E364" s="28" t="s">
        <v>826</v>
      </c>
      <c r="F364" s="28"/>
      <c r="G364" s="28">
        <f t="shared" si="22"/>
        <v>0</v>
      </c>
    </row>
    <row r="365" spans="2:7" ht="41.4" outlineLevel="3" x14ac:dyDescent="0.3">
      <c r="B365" s="28" t="s">
        <v>1186</v>
      </c>
      <c r="C365" s="57" t="s">
        <v>846</v>
      </c>
      <c r="D365" s="28">
        <v>40</v>
      </c>
      <c r="E365" s="28" t="s">
        <v>826</v>
      </c>
      <c r="F365" s="28"/>
      <c r="G365" s="28">
        <f t="shared" si="22"/>
        <v>0</v>
      </c>
    </row>
    <row r="366" spans="2:7" ht="41.4" outlineLevel="3" x14ac:dyDescent="0.3">
      <c r="B366" s="28" t="s">
        <v>1187</v>
      </c>
      <c r="C366" s="57" t="s">
        <v>847</v>
      </c>
      <c r="D366" s="28">
        <v>40</v>
      </c>
      <c r="E366" s="28" t="s">
        <v>826</v>
      </c>
      <c r="F366" s="28"/>
      <c r="G366" s="28">
        <f t="shared" si="22"/>
        <v>0</v>
      </c>
    </row>
    <row r="367" spans="2:7" ht="41.4" outlineLevel="3" x14ac:dyDescent="0.3">
      <c r="B367" s="28" t="s">
        <v>1188</v>
      </c>
      <c r="C367" s="57" t="s">
        <v>848</v>
      </c>
      <c r="D367" s="28">
        <v>40</v>
      </c>
      <c r="E367" s="28" t="s">
        <v>826</v>
      </c>
      <c r="F367" s="28"/>
      <c r="G367" s="28">
        <f t="shared" si="22"/>
        <v>0</v>
      </c>
    </row>
    <row r="368" spans="2:7" ht="41.4" outlineLevel="3" x14ac:dyDescent="0.3">
      <c r="B368" s="28" t="s">
        <v>1189</v>
      </c>
      <c r="C368" s="57" t="s">
        <v>849</v>
      </c>
      <c r="D368" s="28">
        <v>312</v>
      </c>
      <c r="E368" s="28" t="s">
        <v>826</v>
      </c>
      <c r="F368" s="28"/>
      <c r="G368" s="28">
        <f t="shared" si="22"/>
        <v>0</v>
      </c>
    </row>
    <row r="369" spans="2:7" ht="41.4" outlineLevel="3" x14ac:dyDescent="0.3">
      <c r="B369" s="28" t="s">
        <v>1190</v>
      </c>
      <c r="C369" s="57" t="s">
        <v>850</v>
      </c>
      <c r="D369" s="28">
        <v>25</v>
      </c>
      <c r="E369" s="28" t="s">
        <v>826</v>
      </c>
      <c r="F369" s="28"/>
      <c r="G369" s="28">
        <f t="shared" si="22"/>
        <v>0</v>
      </c>
    </row>
    <row r="370" spans="2:7" ht="55.2" outlineLevel="3" x14ac:dyDescent="0.3">
      <c r="B370" s="28" t="s">
        <v>1191</v>
      </c>
      <c r="C370" s="57" t="s">
        <v>851</v>
      </c>
      <c r="D370" s="28">
        <v>25</v>
      </c>
      <c r="E370" s="28" t="s">
        <v>826</v>
      </c>
      <c r="F370" s="28"/>
      <c r="G370" s="28">
        <f t="shared" si="22"/>
        <v>0</v>
      </c>
    </row>
    <row r="371" spans="2:7" ht="55.2" outlineLevel="3" x14ac:dyDescent="0.3">
      <c r="B371" s="28" t="s">
        <v>1192</v>
      </c>
      <c r="C371" s="57" t="s">
        <v>852</v>
      </c>
      <c r="D371" s="28">
        <v>27</v>
      </c>
      <c r="E371" s="28" t="s">
        <v>826</v>
      </c>
      <c r="F371" s="28"/>
      <c r="G371" s="28">
        <f t="shared" si="22"/>
        <v>0</v>
      </c>
    </row>
    <row r="372" spans="2:7" ht="55.2" outlineLevel="3" x14ac:dyDescent="0.3">
      <c r="B372" s="28" t="s">
        <v>1193</v>
      </c>
      <c r="C372" s="57" t="s">
        <v>853</v>
      </c>
      <c r="D372" s="28">
        <v>20</v>
      </c>
      <c r="E372" s="28" t="s">
        <v>826</v>
      </c>
      <c r="F372" s="28"/>
      <c r="G372" s="28">
        <f t="shared" si="22"/>
        <v>0</v>
      </c>
    </row>
    <row r="373" spans="2:7" ht="41.4" outlineLevel="3" x14ac:dyDescent="0.3">
      <c r="B373" s="28" t="s">
        <v>1194</v>
      </c>
      <c r="C373" s="57" t="s">
        <v>854</v>
      </c>
      <c r="D373" s="28">
        <v>33</v>
      </c>
      <c r="E373" s="28" t="s">
        <v>826</v>
      </c>
      <c r="F373" s="28"/>
      <c r="G373" s="28">
        <f t="shared" si="22"/>
        <v>0</v>
      </c>
    </row>
    <row r="374" spans="2:7" ht="41.4" outlineLevel="3" x14ac:dyDescent="0.3">
      <c r="B374" s="28" t="s">
        <v>1195</v>
      </c>
      <c r="C374" s="57" t="s">
        <v>855</v>
      </c>
      <c r="D374" s="28">
        <v>33</v>
      </c>
      <c r="E374" s="28" t="s">
        <v>826</v>
      </c>
      <c r="F374" s="28"/>
      <c r="G374" s="28">
        <f t="shared" si="22"/>
        <v>0</v>
      </c>
    </row>
    <row r="375" spans="2:7" ht="41.4" outlineLevel="3" x14ac:dyDescent="0.3">
      <c r="B375" s="28" t="s">
        <v>1196</v>
      </c>
      <c r="C375" s="57" t="s">
        <v>856</v>
      </c>
      <c r="D375" s="28">
        <v>35</v>
      </c>
      <c r="E375" s="28" t="s">
        <v>826</v>
      </c>
      <c r="F375" s="28"/>
      <c r="G375" s="28">
        <f t="shared" si="22"/>
        <v>0</v>
      </c>
    </row>
    <row r="376" spans="2:7" ht="41.4" outlineLevel="3" x14ac:dyDescent="0.3">
      <c r="B376" s="28" t="s">
        <v>1197</v>
      </c>
      <c r="C376" s="57" t="s">
        <v>856</v>
      </c>
      <c r="D376" s="28">
        <v>35</v>
      </c>
      <c r="E376" s="28" t="s">
        <v>826</v>
      </c>
      <c r="F376" s="28"/>
      <c r="G376" s="28">
        <f t="shared" si="22"/>
        <v>0</v>
      </c>
    </row>
    <row r="377" spans="2:7" ht="41.4" outlineLevel="3" x14ac:dyDescent="0.3">
      <c r="B377" s="28" t="s">
        <v>1198</v>
      </c>
      <c r="C377" s="57" t="s">
        <v>857</v>
      </c>
      <c r="D377" s="28">
        <v>49</v>
      </c>
      <c r="E377" s="28" t="s">
        <v>826</v>
      </c>
      <c r="F377" s="28"/>
      <c r="G377" s="28">
        <f t="shared" si="22"/>
        <v>0</v>
      </c>
    </row>
    <row r="378" spans="2:7" ht="41.4" outlineLevel="3" x14ac:dyDescent="0.3">
      <c r="B378" s="28" t="s">
        <v>1199</v>
      </c>
      <c r="C378" s="57" t="s">
        <v>858</v>
      </c>
      <c r="D378" s="28">
        <v>40</v>
      </c>
      <c r="E378" s="28" t="s">
        <v>826</v>
      </c>
      <c r="F378" s="28"/>
      <c r="G378" s="28">
        <f t="shared" si="22"/>
        <v>0</v>
      </c>
    </row>
    <row r="379" spans="2:7" ht="41.4" outlineLevel="3" x14ac:dyDescent="0.3">
      <c r="B379" s="28" t="s">
        <v>1200</v>
      </c>
      <c r="C379" s="57" t="s">
        <v>859</v>
      </c>
      <c r="D379" s="28">
        <v>40</v>
      </c>
      <c r="E379" s="28" t="s">
        <v>826</v>
      </c>
      <c r="F379" s="28"/>
      <c r="G379" s="28">
        <f t="shared" si="22"/>
        <v>0</v>
      </c>
    </row>
    <row r="380" spans="2:7" ht="41.4" outlineLevel="3" x14ac:dyDescent="0.3">
      <c r="B380" s="28" t="s">
        <v>1201</v>
      </c>
      <c r="C380" s="57" t="s">
        <v>860</v>
      </c>
      <c r="D380" s="28">
        <v>40</v>
      </c>
      <c r="E380" s="28" t="s">
        <v>826</v>
      </c>
      <c r="F380" s="28"/>
      <c r="G380" s="28">
        <f t="shared" si="22"/>
        <v>0</v>
      </c>
    </row>
    <row r="381" spans="2:7" ht="41.4" outlineLevel="3" x14ac:dyDescent="0.3">
      <c r="B381" s="28" t="s">
        <v>1202</v>
      </c>
      <c r="C381" s="57" t="s">
        <v>861</v>
      </c>
      <c r="D381" s="28">
        <v>66</v>
      </c>
      <c r="E381" s="28" t="s">
        <v>826</v>
      </c>
      <c r="F381" s="28"/>
      <c r="G381" s="28">
        <f t="shared" si="22"/>
        <v>0</v>
      </c>
    </row>
    <row r="382" spans="2:7" ht="41.4" outlineLevel="3" x14ac:dyDescent="0.3">
      <c r="B382" s="28" t="s">
        <v>1203</v>
      </c>
      <c r="C382" s="57" t="s">
        <v>862</v>
      </c>
      <c r="D382" s="28">
        <v>49</v>
      </c>
      <c r="E382" s="28" t="s">
        <v>826</v>
      </c>
      <c r="F382" s="28"/>
      <c r="G382" s="28">
        <f t="shared" si="22"/>
        <v>0</v>
      </c>
    </row>
    <row r="383" spans="2:7" ht="55.2" outlineLevel="3" x14ac:dyDescent="0.3">
      <c r="B383" s="28" t="s">
        <v>1204</v>
      </c>
      <c r="C383" s="57" t="s">
        <v>863</v>
      </c>
      <c r="D383" s="28">
        <v>40</v>
      </c>
      <c r="E383" s="28" t="s">
        <v>826</v>
      </c>
      <c r="F383" s="28"/>
      <c r="G383" s="28">
        <f t="shared" si="22"/>
        <v>0</v>
      </c>
    </row>
    <row r="384" spans="2:7" ht="55.2" outlineLevel="3" x14ac:dyDescent="0.3">
      <c r="B384" s="28" t="s">
        <v>1205</v>
      </c>
      <c r="C384" s="57" t="s">
        <v>864</v>
      </c>
      <c r="D384" s="28">
        <v>40</v>
      </c>
      <c r="E384" s="28" t="s">
        <v>826</v>
      </c>
      <c r="F384" s="28"/>
      <c r="G384" s="28">
        <f t="shared" si="22"/>
        <v>0</v>
      </c>
    </row>
    <row r="385" spans="2:7" ht="55.2" outlineLevel="3" x14ac:dyDescent="0.3">
      <c r="B385" s="28" t="s">
        <v>1206</v>
      </c>
      <c r="C385" s="57" t="s">
        <v>865</v>
      </c>
      <c r="D385" s="28">
        <v>40</v>
      </c>
      <c r="E385" s="28" t="s">
        <v>826</v>
      </c>
      <c r="F385" s="28"/>
      <c r="G385" s="28">
        <f t="shared" si="22"/>
        <v>0</v>
      </c>
    </row>
    <row r="386" spans="2:7" ht="55.2" outlineLevel="3" x14ac:dyDescent="0.3">
      <c r="B386" s="28" t="s">
        <v>1207</v>
      </c>
      <c r="C386" s="57" t="s">
        <v>866</v>
      </c>
      <c r="D386" s="28">
        <v>197</v>
      </c>
      <c r="E386" s="28" t="s">
        <v>826</v>
      </c>
      <c r="F386" s="28"/>
      <c r="G386" s="28">
        <f t="shared" si="22"/>
        <v>0</v>
      </c>
    </row>
    <row r="387" spans="2:7" ht="41.4" outlineLevel="3" x14ac:dyDescent="0.3">
      <c r="B387" s="28" t="s">
        <v>1208</v>
      </c>
      <c r="C387" s="57" t="s">
        <v>867</v>
      </c>
      <c r="D387" s="28">
        <v>214</v>
      </c>
      <c r="E387" s="28" t="s">
        <v>826</v>
      </c>
      <c r="F387" s="28"/>
      <c r="G387" s="28">
        <f t="shared" si="22"/>
        <v>0</v>
      </c>
    </row>
    <row r="388" spans="2:7" ht="41.4" outlineLevel="3" x14ac:dyDescent="0.3">
      <c r="B388" s="28" t="s">
        <v>1209</v>
      </c>
      <c r="C388" s="57" t="s">
        <v>868</v>
      </c>
      <c r="D388" s="28">
        <v>227</v>
      </c>
      <c r="E388" s="28" t="s">
        <v>826</v>
      </c>
      <c r="F388" s="28"/>
      <c r="G388" s="28">
        <f t="shared" si="22"/>
        <v>0</v>
      </c>
    </row>
    <row r="389" spans="2:7" ht="41.4" outlineLevel="3" x14ac:dyDescent="0.3">
      <c r="B389" s="28" t="s">
        <v>1210</v>
      </c>
      <c r="C389" s="57" t="s">
        <v>869</v>
      </c>
      <c r="D389" s="28">
        <v>240</v>
      </c>
      <c r="E389" s="28" t="s">
        <v>826</v>
      </c>
      <c r="F389" s="28"/>
      <c r="G389" s="28">
        <f t="shared" si="22"/>
        <v>0</v>
      </c>
    </row>
    <row r="390" spans="2:7" ht="41.4" outlineLevel="3" x14ac:dyDescent="0.3">
      <c r="B390" s="28" t="s">
        <v>1211</v>
      </c>
      <c r="C390" s="57" t="s">
        <v>870</v>
      </c>
      <c r="D390" s="28">
        <v>40</v>
      </c>
      <c r="E390" s="28" t="s">
        <v>826</v>
      </c>
      <c r="F390" s="28"/>
      <c r="G390" s="28">
        <f t="shared" si="22"/>
        <v>0</v>
      </c>
    </row>
    <row r="391" spans="2:7" ht="41.4" outlineLevel="3" x14ac:dyDescent="0.3">
      <c r="B391" s="28" t="s">
        <v>1212</v>
      </c>
      <c r="C391" s="57" t="s">
        <v>871</v>
      </c>
      <c r="D391" s="28">
        <v>40</v>
      </c>
      <c r="E391" s="28" t="s">
        <v>826</v>
      </c>
      <c r="F391" s="28"/>
      <c r="G391" s="28">
        <f t="shared" si="22"/>
        <v>0</v>
      </c>
    </row>
    <row r="392" spans="2:7" ht="41.4" outlineLevel="3" x14ac:dyDescent="0.3">
      <c r="B392" s="28" t="s">
        <v>1213</v>
      </c>
      <c r="C392" s="57" t="s">
        <v>871</v>
      </c>
      <c r="D392" s="28">
        <v>40</v>
      </c>
      <c r="E392" s="28" t="s">
        <v>826</v>
      </c>
      <c r="F392" s="28"/>
      <c r="G392" s="28">
        <f t="shared" si="22"/>
        <v>0</v>
      </c>
    </row>
    <row r="393" spans="2:7" ht="41.4" outlineLevel="3" x14ac:dyDescent="0.3">
      <c r="B393" s="28" t="s">
        <v>1214</v>
      </c>
      <c r="C393" s="57" t="s">
        <v>872</v>
      </c>
      <c r="D393" s="28">
        <v>378</v>
      </c>
      <c r="E393" s="28" t="s">
        <v>826</v>
      </c>
      <c r="F393" s="28"/>
      <c r="G393" s="28">
        <f t="shared" si="22"/>
        <v>0</v>
      </c>
    </row>
    <row r="394" spans="2:7" ht="41.4" outlineLevel="3" x14ac:dyDescent="0.3">
      <c r="B394" s="28" t="s">
        <v>1215</v>
      </c>
      <c r="C394" s="57" t="s">
        <v>873</v>
      </c>
      <c r="D394" s="28">
        <v>385</v>
      </c>
      <c r="E394" s="28" t="s">
        <v>826</v>
      </c>
      <c r="F394" s="28"/>
      <c r="G394" s="28">
        <f t="shared" si="22"/>
        <v>0</v>
      </c>
    </row>
    <row r="395" spans="2:7" ht="41.4" outlineLevel="3" x14ac:dyDescent="0.3">
      <c r="B395" s="28" t="s">
        <v>1216</v>
      </c>
      <c r="C395" s="57" t="s">
        <v>873</v>
      </c>
      <c r="D395" s="28">
        <v>390</v>
      </c>
      <c r="E395" s="28" t="s">
        <v>826</v>
      </c>
      <c r="F395" s="28"/>
      <c r="G395" s="28">
        <f t="shared" si="22"/>
        <v>0</v>
      </c>
    </row>
    <row r="396" spans="2:7" ht="41.4" outlineLevel="3" x14ac:dyDescent="0.3">
      <c r="B396" s="28" t="s">
        <v>1217</v>
      </c>
      <c r="C396" s="57" t="s">
        <v>873</v>
      </c>
      <c r="D396" s="28">
        <v>390</v>
      </c>
      <c r="E396" s="28" t="s">
        <v>826</v>
      </c>
      <c r="F396" s="28"/>
      <c r="G396" s="28">
        <f t="shared" si="22"/>
        <v>0</v>
      </c>
    </row>
    <row r="397" spans="2:7" ht="41.4" outlineLevel="3" x14ac:dyDescent="0.3">
      <c r="B397" s="28" t="s">
        <v>1218</v>
      </c>
      <c r="C397" s="57" t="s">
        <v>874</v>
      </c>
      <c r="D397" s="28">
        <v>55</v>
      </c>
      <c r="E397" s="28" t="s">
        <v>826</v>
      </c>
      <c r="F397" s="28"/>
      <c r="G397" s="28">
        <f t="shared" si="22"/>
        <v>0</v>
      </c>
    </row>
    <row r="398" spans="2:7" ht="41.4" outlineLevel="3" x14ac:dyDescent="0.3">
      <c r="B398" s="28" t="s">
        <v>1219</v>
      </c>
      <c r="C398" s="57" t="s">
        <v>874</v>
      </c>
      <c r="D398" s="28">
        <v>55</v>
      </c>
      <c r="E398" s="28" t="s">
        <v>826</v>
      </c>
      <c r="F398" s="28"/>
      <c r="G398" s="28">
        <f t="shared" si="22"/>
        <v>0</v>
      </c>
    </row>
    <row r="399" spans="2:7" ht="41.4" outlineLevel="3" x14ac:dyDescent="0.3">
      <c r="B399" s="28" t="s">
        <v>1220</v>
      </c>
      <c r="C399" s="57" t="s">
        <v>875</v>
      </c>
      <c r="D399" s="28">
        <v>410</v>
      </c>
      <c r="E399" s="28" t="s">
        <v>826</v>
      </c>
      <c r="F399" s="28"/>
      <c r="G399" s="28">
        <f t="shared" si="22"/>
        <v>0</v>
      </c>
    </row>
    <row r="400" spans="2:7" ht="41.4" outlineLevel="3" x14ac:dyDescent="0.3">
      <c r="B400" s="28" t="s">
        <v>1221</v>
      </c>
      <c r="C400" s="57" t="s">
        <v>876</v>
      </c>
      <c r="D400" s="28">
        <v>15</v>
      </c>
      <c r="E400" s="28" t="s">
        <v>826</v>
      </c>
      <c r="F400" s="28"/>
      <c r="G400" s="28">
        <f t="shared" si="22"/>
        <v>0</v>
      </c>
    </row>
    <row r="401" spans="2:7" ht="41.4" outlineLevel="3" x14ac:dyDescent="0.3">
      <c r="B401" s="28" t="s">
        <v>1222</v>
      </c>
      <c r="C401" s="57" t="s">
        <v>876</v>
      </c>
      <c r="D401" s="28">
        <v>20</v>
      </c>
      <c r="E401" s="28" t="s">
        <v>826</v>
      </c>
      <c r="F401" s="28"/>
      <c r="G401" s="28">
        <f t="shared" si="22"/>
        <v>0</v>
      </c>
    </row>
    <row r="402" spans="2:7" ht="41.4" outlineLevel="3" x14ac:dyDescent="0.3">
      <c r="B402" s="28" t="s">
        <v>1223</v>
      </c>
      <c r="C402" s="57" t="s">
        <v>877</v>
      </c>
      <c r="D402" s="28">
        <v>25</v>
      </c>
      <c r="E402" s="28" t="s">
        <v>826</v>
      </c>
      <c r="F402" s="28"/>
      <c r="G402" s="28">
        <f t="shared" si="22"/>
        <v>0</v>
      </c>
    </row>
    <row r="403" spans="2:7" ht="41.4" outlineLevel="3" x14ac:dyDescent="0.3">
      <c r="B403" s="28" t="s">
        <v>1224</v>
      </c>
      <c r="C403" s="57" t="s">
        <v>877</v>
      </c>
      <c r="D403" s="28">
        <v>30</v>
      </c>
      <c r="E403" s="28" t="s">
        <v>826</v>
      </c>
      <c r="F403" s="28"/>
      <c r="G403" s="28">
        <f t="shared" si="22"/>
        <v>0</v>
      </c>
    </row>
    <row r="404" spans="2:7" ht="41.4" outlineLevel="3" x14ac:dyDescent="0.3">
      <c r="B404" s="28" t="s">
        <v>1225</v>
      </c>
      <c r="C404" s="57" t="s">
        <v>877</v>
      </c>
      <c r="D404" s="28">
        <v>35</v>
      </c>
      <c r="E404" s="28" t="s">
        <v>826</v>
      </c>
      <c r="F404" s="28"/>
      <c r="G404" s="28">
        <f t="shared" si="22"/>
        <v>0</v>
      </c>
    </row>
    <row r="405" spans="2:7" ht="41.4" outlineLevel="3" x14ac:dyDescent="0.3">
      <c r="B405" s="28" t="s">
        <v>1226</v>
      </c>
      <c r="C405" s="57" t="s">
        <v>878</v>
      </c>
      <c r="D405" s="28">
        <v>40</v>
      </c>
      <c r="E405" s="28" t="s">
        <v>826</v>
      </c>
      <c r="F405" s="28"/>
      <c r="G405" s="28">
        <f t="shared" si="22"/>
        <v>0</v>
      </c>
    </row>
    <row r="406" spans="2:7" ht="41.4" outlineLevel="3" x14ac:dyDescent="0.3">
      <c r="B406" s="28" t="s">
        <v>1227</v>
      </c>
      <c r="C406" s="57" t="s">
        <v>878</v>
      </c>
      <c r="D406" s="28">
        <v>45</v>
      </c>
      <c r="E406" s="28" t="s">
        <v>826</v>
      </c>
      <c r="F406" s="28"/>
      <c r="G406" s="28">
        <f t="shared" si="22"/>
        <v>0</v>
      </c>
    </row>
    <row r="407" spans="2:7" ht="41.4" outlineLevel="3" x14ac:dyDescent="0.3">
      <c r="B407" s="28" t="s">
        <v>1228</v>
      </c>
      <c r="C407" s="57" t="s">
        <v>878</v>
      </c>
      <c r="D407" s="28">
        <v>50</v>
      </c>
      <c r="E407" s="28" t="s">
        <v>826</v>
      </c>
      <c r="F407" s="28"/>
      <c r="G407" s="28">
        <f t="shared" si="22"/>
        <v>0</v>
      </c>
    </row>
    <row r="408" spans="2:7" ht="41.4" outlineLevel="3" x14ac:dyDescent="0.3">
      <c r="B408" s="28" t="s">
        <v>1229</v>
      </c>
      <c r="C408" s="57" t="s">
        <v>879</v>
      </c>
      <c r="D408" s="28">
        <v>55</v>
      </c>
      <c r="E408" s="28" t="s">
        <v>826</v>
      </c>
      <c r="F408" s="28"/>
      <c r="G408" s="28">
        <f t="shared" si="22"/>
        <v>0</v>
      </c>
    </row>
    <row r="409" spans="2:7" ht="41.4" outlineLevel="3" x14ac:dyDescent="0.3">
      <c r="B409" s="28" t="s">
        <v>1230</v>
      </c>
      <c r="C409" s="57" t="s">
        <v>879</v>
      </c>
      <c r="D409" s="28">
        <v>60</v>
      </c>
      <c r="E409" s="28" t="s">
        <v>826</v>
      </c>
      <c r="F409" s="28"/>
      <c r="G409" s="28">
        <f t="shared" ref="G409:G424" si="23">ROUNDUP(D409*F409,2)</f>
        <v>0</v>
      </c>
    </row>
    <row r="410" spans="2:7" ht="41.4" outlineLevel="3" x14ac:dyDescent="0.3">
      <c r="B410" s="28" t="s">
        <v>1231</v>
      </c>
      <c r="C410" s="57" t="s">
        <v>879</v>
      </c>
      <c r="D410" s="28">
        <v>65</v>
      </c>
      <c r="E410" s="28" t="s">
        <v>826</v>
      </c>
      <c r="F410" s="28"/>
      <c r="G410" s="28">
        <f t="shared" si="23"/>
        <v>0</v>
      </c>
    </row>
    <row r="411" spans="2:7" ht="41.4" outlineLevel="3" x14ac:dyDescent="0.3">
      <c r="B411" s="28" t="s">
        <v>1232</v>
      </c>
      <c r="C411" s="57" t="s">
        <v>880</v>
      </c>
      <c r="D411" s="28">
        <v>440</v>
      </c>
      <c r="E411" s="28" t="s">
        <v>826</v>
      </c>
      <c r="F411" s="28"/>
      <c r="G411" s="28">
        <f t="shared" si="23"/>
        <v>0</v>
      </c>
    </row>
    <row r="412" spans="2:7" ht="41.4" outlineLevel="3" x14ac:dyDescent="0.3">
      <c r="B412" s="28" t="s">
        <v>1233</v>
      </c>
      <c r="C412" s="57" t="s">
        <v>881</v>
      </c>
      <c r="D412" s="28">
        <v>15</v>
      </c>
      <c r="E412" s="28" t="s">
        <v>826</v>
      </c>
      <c r="F412" s="28"/>
      <c r="G412" s="28">
        <f t="shared" si="23"/>
        <v>0</v>
      </c>
    </row>
    <row r="413" spans="2:7" ht="41.4" outlineLevel="3" x14ac:dyDescent="0.3">
      <c r="B413" s="28" t="s">
        <v>1234</v>
      </c>
      <c r="C413" s="57" t="s">
        <v>882</v>
      </c>
      <c r="D413" s="28">
        <v>20</v>
      </c>
      <c r="E413" s="28" t="s">
        <v>826</v>
      </c>
      <c r="F413" s="28"/>
      <c r="G413" s="28">
        <f t="shared" si="23"/>
        <v>0</v>
      </c>
    </row>
    <row r="414" spans="2:7" ht="41.4" outlineLevel="3" x14ac:dyDescent="0.3">
      <c r="B414" s="28" t="s">
        <v>1235</v>
      </c>
      <c r="C414" s="57" t="s">
        <v>882</v>
      </c>
      <c r="D414" s="28">
        <v>25</v>
      </c>
      <c r="E414" s="28" t="s">
        <v>826</v>
      </c>
      <c r="F414" s="28"/>
      <c r="G414" s="28">
        <f t="shared" si="23"/>
        <v>0</v>
      </c>
    </row>
    <row r="415" spans="2:7" ht="41.4" outlineLevel="3" x14ac:dyDescent="0.3">
      <c r="B415" s="28" t="s">
        <v>1236</v>
      </c>
      <c r="C415" s="57" t="s">
        <v>882</v>
      </c>
      <c r="D415" s="28">
        <v>30</v>
      </c>
      <c r="E415" s="28" t="s">
        <v>826</v>
      </c>
      <c r="F415" s="28"/>
      <c r="G415" s="28">
        <f t="shared" si="23"/>
        <v>0</v>
      </c>
    </row>
    <row r="416" spans="2:7" ht="41.4" outlineLevel="3" x14ac:dyDescent="0.3">
      <c r="B416" s="28" t="s">
        <v>1237</v>
      </c>
      <c r="C416" s="57" t="s">
        <v>882</v>
      </c>
      <c r="D416" s="28">
        <v>35</v>
      </c>
      <c r="E416" s="28" t="s">
        <v>826</v>
      </c>
      <c r="F416" s="28"/>
      <c r="G416" s="28">
        <f t="shared" si="23"/>
        <v>0</v>
      </c>
    </row>
    <row r="417" spans="2:7" ht="41.4" outlineLevel="3" x14ac:dyDescent="0.3">
      <c r="B417" s="28" t="s">
        <v>1238</v>
      </c>
      <c r="C417" s="57" t="s">
        <v>883</v>
      </c>
      <c r="D417" s="28">
        <v>40</v>
      </c>
      <c r="E417" s="28" t="s">
        <v>826</v>
      </c>
      <c r="F417" s="28"/>
      <c r="G417" s="28">
        <f t="shared" si="23"/>
        <v>0</v>
      </c>
    </row>
    <row r="418" spans="2:7" ht="41.4" outlineLevel="3" x14ac:dyDescent="0.3">
      <c r="B418" s="28" t="s">
        <v>1239</v>
      </c>
      <c r="C418" s="57" t="s">
        <v>883</v>
      </c>
      <c r="D418" s="28">
        <v>45</v>
      </c>
      <c r="E418" s="28" t="s">
        <v>826</v>
      </c>
      <c r="F418" s="28"/>
      <c r="G418" s="28">
        <f t="shared" si="23"/>
        <v>0</v>
      </c>
    </row>
    <row r="419" spans="2:7" ht="41.4" outlineLevel="3" x14ac:dyDescent="0.3">
      <c r="B419" s="28" t="s">
        <v>1240</v>
      </c>
      <c r="C419" s="57" t="s">
        <v>884</v>
      </c>
      <c r="D419" s="28">
        <v>50</v>
      </c>
      <c r="E419" s="28" t="s">
        <v>826</v>
      </c>
      <c r="F419" s="28"/>
      <c r="G419" s="28">
        <f t="shared" si="23"/>
        <v>0</v>
      </c>
    </row>
    <row r="420" spans="2:7" ht="41.4" outlineLevel="3" x14ac:dyDescent="0.3">
      <c r="B420" s="28" t="s">
        <v>1241</v>
      </c>
      <c r="C420" s="57" t="s">
        <v>884</v>
      </c>
      <c r="D420" s="28">
        <v>55</v>
      </c>
      <c r="E420" s="28" t="s">
        <v>826</v>
      </c>
      <c r="F420" s="28"/>
      <c r="G420" s="28">
        <f t="shared" si="23"/>
        <v>0</v>
      </c>
    </row>
    <row r="421" spans="2:7" ht="41.4" outlineLevel="3" x14ac:dyDescent="0.3">
      <c r="B421" s="28" t="s">
        <v>1242</v>
      </c>
      <c r="C421" s="57" t="s">
        <v>885</v>
      </c>
      <c r="D421" s="28">
        <v>60</v>
      </c>
      <c r="E421" s="28" t="s">
        <v>826</v>
      </c>
      <c r="F421" s="28"/>
      <c r="G421" s="28">
        <f t="shared" si="23"/>
        <v>0</v>
      </c>
    </row>
    <row r="422" spans="2:7" ht="41.4" outlineLevel="3" x14ac:dyDescent="0.3">
      <c r="B422" s="28" t="s">
        <v>1243</v>
      </c>
      <c r="C422" s="57" t="s">
        <v>885</v>
      </c>
      <c r="D422" s="28">
        <v>65</v>
      </c>
      <c r="E422" s="28" t="s">
        <v>826</v>
      </c>
      <c r="F422" s="28"/>
      <c r="G422" s="28">
        <f t="shared" si="23"/>
        <v>0</v>
      </c>
    </row>
    <row r="423" spans="2:7" ht="41.4" outlineLevel="3" x14ac:dyDescent="0.3">
      <c r="B423" s="28" t="s">
        <v>1244</v>
      </c>
      <c r="C423" s="57" t="s">
        <v>885</v>
      </c>
      <c r="D423" s="28">
        <v>70</v>
      </c>
      <c r="E423" s="28" t="s">
        <v>826</v>
      </c>
      <c r="F423" s="28"/>
      <c r="G423" s="28">
        <f t="shared" si="23"/>
        <v>0</v>
      </c>
    </row>
    <row r="424" spans="2:7" ht="41.4" outlineLevel="3" x14ac:dyDescent="0.3">
      <c r="B424" s="28" t="s">
        <v>1245</v>
      </c>
      <c r="C424" s="57" t="s">
        <v>885</v>
      </c>
      <c r="D424" s="28">
        <v>75</v>
      </c>
      <c r="E424" s="28" t="s">
        <v>826</v>
      </c>
      <c r="F424" s="28"/>
      <c r="G424" s="28">
        <f t="shared" si="23"/>
        <v>0</v>
      </c>
    </row>
    <row r="425" spans="2:7" outlineLevel="2" x14ac:dyDescent="0.3">
      <c r="B425" s="21" t="s">
        <v>497</v>
      </c>
      <c r="C425" s="22" t="s">
        <v>886</v>
      </c>
      <c r="D425" s="23"/>
      <c r="E425" s="24"/>
      <c r="F425" s="25"/>
      <c r="G425" s="26">
        <f>+SUBTOTAL(9,G426:G483)</f>
        <v>0</v>
      </c>
    </row>
    <row r="426" spans="2:7" ht="27.6" outlineLevel="3" x14ac:dyDescent="0.3">
      <c r="B426" s="28" t="s">
        <v>498</v>
      </c>
      <c r="C426" s="57" t="s">
        <v>887</v>
      </c>
      <c r="D426" s="28">
        <f>0.7*1</f>
        <v>0.7</v>
      </c>
      <c r="E426" s="28" t="s">
        <v>888</v>
      </c>
      <c r="F426" s="28"/>
      <c r="G426" s="28">
        <f t="shared" ref="G426:G483" si="24">ROUNDUP(D426*F426,2)</f>
        <v>0</v>
      </c>
    </row>
    <row r="427" spans="2:7" ht="55.2" outlineLevel="3" x14ac:dyDescent="0.3">
      <c r="B427" s="28" t="s">
        <v>499</v>
      </c>
      <c r="C427" s="57" t="s">
        <v>889</v>
      </c>
      <c r="D427" s="28">
        <f t="shared" ref="D427:D433" si="25">0.7*1</f>
        <v>0.7</v>
      </c>
      <c r="E427" s="28" t="s">
        <v>888</v>
      </c>
      <c r="F427" s="28"/>
      <c r="G427" s="28">
        <f t="shared" si="24"/>
        <v>0</v>
      </c>
    </row>
    <row r="428" spans="2:7" ht="55.2" outlineLevel="3" x14ac:dyDescent="0.3">
      <c r="B428" s="28" t="s">
        <v>500</v>
      </c>
      <c r="C428" s="57" t="s">
        <v>890</v>
      </c>
      <c r="D428" s="28">
        <f t="shared" si="25"/>
        <v>0.7</v>
      </c>
      <c r="E428" s="28" t="s">
        <v>888</v>
      </c>
      <c r="F428" s="28"/>
      <c r="G428" s="28">
        <f t="shared" si="24"/>
        <v>0</v>
      </c>
    </row>
    <row r="429" spans="2:7" ht="55.2" outlineLevel="3" x14ac:dyDescent="0.3">
      <c r="B429" s="28" t="s">
        <v>501</v>
      </c>
      <c r="C429" s="57" t="s">
        <v>891</v>
      </c>
      <c r="D429" s="28">
        <f t="shared" si="25"/>
        <v>0.7</v>
      </c>
      <c r="E429" s="28" t="s">
        <v>888</v>
      </c>
      <c r="F429" s="28"/>
      <c r="G429" s="28">
        <f t="shared" si="24"/>
        <v>0</v>
      </c>
    </row>
    <row r="430" spans="2:7" ht="55.2" outlineLevel="3" x14ac:dyDescent="0.3">
      <c r="B430" s="28" t="s">
        <v>503</v>
      </c>
      <c r="C430" s="57" t="s">
        <v>892</v>
      </c>
      <c r="D430" s="28">
        <f t="shared" si="25"/>
        <v>0.7</v>
      </c>
      <c r="E430" s="28" t="s">
        <v>888</v>
      </c>
      <c r="F430" s="28"/>
      <c r="G430" s="28">
        <f t="shared" si="24"/>
        <v>0</v>
      </c>
    </row>
    <row r="431" spans="2:7" ht="55.2" outlineLevel="3" x14ac:dyDescent="0.3">
      <c r="B431" s="28" t="s">
        <v>1246</v>
      </c>
      <c r="C431" s="57" t="s">
        <v>893</v>
      </c>
      <c r="D431" s="28">
        <f t="shared" si="25"/>
        <v>0.7</v>
      </c>
      <c r="E431" s="28" t="s">
        <v>888</v>
      </c>
      <c r="F431" s="28"/>
      <c r="G431" s="28">
        <f t="shared" si="24"/>
        <v>0</v>
      </c>
    </row>
    <row r="432" spans="2:7" ht="55.2" outlineLevel="3" x14ac:dyDescent="0.3">
      <c r="B432" s="28" t="s">
        <v>1247</v>
      </c>
      <c r="C432" s="57" t="s">
        <v>894</v>
      </c>
      <c r="D432" s="28">
        <f t="shared" si="25"/>
        <v>0.7</v>
      </c>
      <c r="E432" s="28" t="s">
        <v>888</v>
      </c>
      <c r="F432" s="28"/>
      <c r="G432" s="28">
        <f t="shared" si="24"/>
        <v>0</v>
      </c>
    </row>
    <row r="433" spans="2:7" ht="55.2" outlineLevel="3" x14ac:dyDescent="0.3">
      <c r="B433" s="28" t="s">
        <v>1248</v>
      </c>
      <c r="C433" s="57" t="s">
        <v>895</v>
      </c>
      <c r="D433" s="28">
        <f t="shared" si="25"/>
        <v>0.7</v>
      </c>
      <c r="E433" s="28" t="s">
        <v>888</v>
      </c>
      <c r="F433" s="28"/>
      <c r="G433" s="28">
        <f t="shared" si="24"/>
        <v>0</v>
      </c>
    </row>
    <row r="434" spans="2:7" ht="27.6" outlineLevel="3" x14ac:dyDescent="0.3">
      <c r="B434" s="28" t="s">
        <v>1249</v>
      </c>
      <c r="C434" s="57" t="s">
        <v>896</v>
      </c>
      <c r="D434" s="28">
        <v>1</v>
      </c>
      <c r="E434" s="28" t="s">
        <v>888</v>
      </c>
      <c r="F434" s="28"/>
      <c r="G434" s="28">
        <f t="shared" si="24"/>
        <v>0</v>
      </c>
    </row>
    <row r="435" spans="2:7" ht="27.6" outlineLevel="3" x14ac:dyDescent="0.3">
      <c r="B435" s="28" t="s">
        <v>1250</v>
      </c>
      <c r="C435" s="57" t="s">
        <v>897</v>
      </c>
      <c r="D435" s="28">
        <v>1</v>
      </c>
      <c r="E435" s="28" t="s">
        <v>888</v>
      </c>
      <c r="F435" s="28"/>
      <c r="G435" s="28">
        <f t="shared" si="24"/>
        <v>0</v>
      </c>
    </row>
    <row r="436" spans="2:7" ht="27.6" outlineLevel="3" x14ac:dyDescent="0.3">
      <c r="B436" s="28" t="s">
        <v>1251</v>
      </c>
      <c r="C436" s="57" t="s">
        <v>898</v>
      </c>
      <c r="D436" s="28">
        <v>1</v>
      </c>
      <c r="E436" s="28" t="s">
        <v>888</v>
      </c>
      <c r="F436" s="28"/>
      <c r="G436" s="28">
        <f t="shared" si="24"/>
        <v>0</v>
      </c>
    </row>
    <row r="437" spans="2:7" ht="27.6" outlineLevel="3" x14ac:dyDescent="0.3">
      <c r="B437" s="28" t="s">
        <v>1252</v>
      </c>
      <c r="C437" s="57" t="s">
        <v>899</v>
      </c>
      <c r="D437" s="28">
        <v>1</v>
      </c>
      <c r="E437" s="28" t="s">
        <v>888</v>
      </c>
      <c r="F437" s="28"/>
      <c r="G437" s="28">
        <f t="shared" si="24"/>
        <v>0</v>
      </c>
    </row>
    <row r="438" spans="2:7" ht="27.6" outlineLevel="3" x14ac:dyDescent="0.3">
      <c r="B438" s="28" t="s">
        <v>1253</v>
      </c>
      <c r="C438" s="57" t="s">
        <v>900</v>
      </c>
      <c r="D438" s="28">
        <v>1</v>
      </c>
      <c r="E438" s="28" t="s">
        <v>888</v>
      </c>
      <c r="F438" s="28"/>
      <c r="G438" s="28">
        <f t="shared" si="24"/>
        <v>0</v>
      </c>
    </row>
    <row r="439" spans="2:7" ht="27.6" outlineLevel="3" x14ac:dyDescent="0.3">
      <c r="B439" s="28" t="s">
        <v>1254</v>
      </c>
      <c r="C439" s="57" t="s">
        <v>901</v>
      </c>
      <c r="D439" s="28">
        <v>1</v>
      </c>
      <c r="E439" s="28" t="s">
        <v>888</v>
      </c>
      <c r="F439" s="28"/>
      <c r="G439" s="28">
        <f t="shared" si="24"/>
        <v>0</v>
      </c>
    </row>
    <row r="440" spans="2:7" ht="27.6" outlineLevel="3" x14ac:dyDescent="0.3">
      <c r="B440" s="28" t="s">
        <v>1255</v>
      </c>
      <c r="C440" s="57" t="s">
        <v>902</v>
      </c>
      <c r="D440" s="28">
        <v>1</v>
      </c>
      <c r="E440" s="28" t="s">
        <v>888</v>
      </c>
      <c r="F440" s="28"/>
      <c r="G440" s="28">
        <f t="shared" si="24"/>
        <v>0</v>
      </c>
    </row>
    <row r="441" spans="2:7" ht="27.6" outlineLevel="3" x14ac:dyDescent="0.3">
      <c r="B441" s="28" t="s">
        <v>1256</v>
      </c>
      <c r="C441" s="57" t="s">
        <v>903</v>
      </c>
      <c r="D441" s="28">
        <v>1</v>
      </c>
      <c r="E441" s="28" t="s">
        <v>888</v>
      </c>
      <c r="F441" s="28"/>
      <c r="G441" s="28">
        <f t="shared" si="24"/>
        <v>0</v>
      </c>
    </row>
    <row r="442" spans="2:7" ht="27.6" outlineLevel="3" x14ac:dyDescent="0.3">
      <c r="B442" s="28" t="s">
        <v>1257</v>
      </c>
      <c r="C442" s="57" t="s">
        <v>904</v>
      </c>
      <c r="D442" s="28">
        <v>1</v>
      </c>
      <c r="E442" s="28" t="s">
        <v>888</v>
      </c>
      <c r="F442" s="28"/>
      <c r="G442" s="28">
        <f t="shared" si="24"/>
        <v>0</v>
      </c>
    </row>
    <row r="443" spans="2:7" ht="27.6" outlineLevel="3" x14ac:dyDescent="0.3">
      <c r="B443" s="28" t="s">
        <v>1258</v>
      </c>
      <c r="C443" s="57" t="s">
        <v>905</v>
      </c>
      <c r="D443" s="28">
        <v>1</v>
      </c>
      <c r="E443" s="28" t="s">
        <v>888</v>
      </c>
      <c r="F443" s="28"/>
      <c r="G443" s="28">
        <f t="shared" si="24"/>
        <v>0</v>
      </c>
    </row>
    <row r="444" spans="2:7" ht="27.6" outlineLevel="3" x14ac:dyDescent="0.3">
      <c r="B444" s="28" t="s">
        <v>1259</v>
      </c>
      <c r="C444" s="57" t="s">
        <v>906</v>
      </c>
      <c r="D444" s="28">
        <v>1</v>
      </c>
      <c r="E444" s="28" t="s">
        <v>888</v>
      </c>
      <c r="F444" s="28"/>
      <c r="G444" s="28">
        <f t="shared" si="24"/>
        <v>0</v>
      </c>
    </row>
    <row r="445" spans="2:7" ht="27.6" outlineLevel="3" x14ac:dyDescent="0.3">
      <c r="B445" s="28" t="s">
        <v>1260</v>
      </c>
      <c r="C445" s="57" t="s">
        <v>907</v>
      </c>
      <c r="D445" s="28">
        <v>1</v>
      </c>
      <c r="E445" s="28" t="s">
        <v>888</v>
      </c>
      <c r="F445" s="28"/>
      <c r="G445" s="28">
        <f t="shared" si="24"/>
        <v>0</v>
      </c>
    </row>
    <row r="446" spans="2:7" ht="27.6" outlineLevel="3" x14ac:dyDescent="0.3">
      <c r="B446" s="28" t="s">
        <v>1261</v>
      </c>
      <c r="C446" s="57" t="s">
        <v>908</v>
      </c>
      <c r="D446" s="28">
        <v>1</v>
      </c>
      <c r="E446" s="28" t="s">
        <v>888</v>
      </c>
      <c r="F446" s="28"/>
      <c r="G446" s="28">
        <f t="shared" si="24"/>
        <v>0</v>
      </c>
    </row>
    <row r="447" spans="2:7" ht="27.6" outlineLevel="3" x14ac:dyDescent="0.3">
      <c r="B447" s="28" t="s">
        <v>1262</v>
      </c>
      <c r="C447" s="57" t="s">
        <v>909</v>
      </c>
      <c r="D447" s="28">
        <v>1</v>
      </c>
      <c r="E447" s="28" t="s">
        <v>888</v>
      </c>
      <c r="F447" s="28"/>
      <c r="G447" s="28">
        <f t="shared" si="24"/>
        <v>0</v>
      </c>
    </row>
    <row r="448" spans="2:7" ht="27.6" outlineLevel="3" x14ac:dyDescent="0.3">
      <c r="B448" s="28" t="s">
        <v>1263</v>
      </c>
      <c r="C448" s="57" t="s">
        <v>910</v>
      </c>
      <c r="D448" s="28">
        <v>1</v>
      </c>
      <c r="E448" s="28" t="s">
        <v>888</v>
      </c>
      <c r="F448" s="28"/>
      <c r="G448" s="28">
        <f t="shared" si="24"/>
        <v>0</v>
      </c>
    </row>
    <row r="449" spans="2:7" ht="27.6" outlineLevel="3" x14ac:dyDescent="0.3">
      <c r="B449" s="28" t="s">
        <v>1264</v>
      </c>
      <c r="C449" s="57" t="s">
        <v>911</v>
      </c>
      <c r="D449" s="28">
        <v>1</v>
      </c>
      <c r="E449" s="28" t="s">
        <v>888</v>
      </c>
      <c r="F449" s="28"/>
      <c r="G449" s="28">
        <f t="shared" si="24"/>
        <v>0</v>
      </c>
    </row>
    <row r="450" spans="2:7" ht="27.6" outlineLevel="3" x14ac:dyDescent="0.3">
      <c r="B450" s="28" t="s">
        <v>1265</v>
      </c>
      <c r="C450" s="57" t="s">
        <v>912</v>
      </c>
      <c r="D450" s="28">
        <v>1</v>
      </c>
      <c r="E450" s="28" t="s">
        <v>888</v>
      </c>
      <c r="F450" s="28"/>
      <c r="G450" s="28">
        <f t="shared" si="24"/>
        <v>0</v>
      </c>
    </row>
    <row r="451" spans="2:7" ht="27.6" outlineLevel="3" x14ac:dyDescent="0.3">
      <c r="B451" s="28" t="s">
        <v>1266</v>
      </c>
      <c r="C451" s="57" t="s">
        <v>913</v>
      </c>
      <c r="D451" s="28">
        <v>1</v>
      </c>
      <c r="E451" s="28" t="s">
        <v>888</v>
      </c>
      <c r="F451" s="28"/>
      <c r="G451" s="28">
        <f t="shared" si="24"/>
        <v>0</v>
      </c>
    </row>
    <row r="452" spans="2:7" ht="27.6" outlineLevel="3" x14ac:dyDescent="0.3">
      <c r="B452" s="28" t="s">
        <v>1267</v>
      </c>
      <c r="C452" s="57" t="s">
        <v>914</v>
      </c>
      <c r="D452" s="28">
        <v>1</v>
      </c>
      <c r="E452" s="28" t="s">
        <v>888</v>
      </c>
      <c r="F452" s="28"/>
      <c r="G452" s="28">
        <f t="shared" si="24"/>
        <v>0</v>
      </c>
    </row>
    <row r="453" spans="2:7" ht="27.6" outlineLevel="3" x14ac:dyDescent="0.3">
      <c r="B453" s="28" t="s">
        <v>1268</v>
      </c>
      <c r="C453" s="57" t="s">
        <v>915</v>
      </c>
      <c r="D453" s="28">
        <v>1</v>
      </c>
      <c r="E453" s="28" t="s">
        <v>888</v>
      </c>
      <c r="F453" s="28"/>
      <c r="G453" s="28">
        <f t="shared" si="24"/>
        <v>0</v>
      </c>
    </row>
    <row r="454" spans="2:7" ht="27.6" outlineLevel="3" x14ac:dyDescent="0.3">
      <c r="B454" s="28" t="s">
        <v>1269</v>
      </c>
      <c r="C454" s="57" t="s">
        <v>916</v>
      </c>
      <c r="D454" s="28">
        <v>1</v>
      </c>
      <c r="E454" s="28" t="s">
        <v>888</v>
      </c>
      <c r="F454" s="28"/>
      <c r="G454" s="28">
        <f t="shared" si="24"/>
        <v>0</v>
      </c>
    </row>
    <row r="455" spans="2:7" ht="27.6" outlineLevel="3" x14ac:dyDescent="0.3">
      <c r="B455" s="28" t="s">
        <v>1270</v>
      </c>
      <c r="C455" s="57" t="s">
        <v>917</v>
      </c>
      <c r="D455" s="28">
        <v>1</v>
      </c>
      <c r="E455" s="28" t="s">
        <v>888</v>
      </c>
      <c r="F455" s="28"/>
      <c r="G455" s="28">
        <f t="shared" si="24"/>
        <v>0</v>
      </c>
    </row>
    <row r="456" spans="2:7" ht="27.6" outlineLevel="3" x14ac:dyDescent="0.3">
      <c r="B456" s="28" t="s">
        <v>1271</v>
      </c>
      <c r="C456" s="57" t="s">
        <v>918</v>
      </c>
      <c r="D456" s="28">
        <v>1</v>
      </c>
      <c r="E456" s="28" t="s">
        <v>888</v>
      </c>
      <c r="F456" s="28"/>
      <c r="G456" s="28">
        <f t="shared" si="24"/>
        <v>0</v>
      </c>
    </row>
    <row r="457" spans="2:7" ht="27.6" outlineLevel="3" x14ac:dyDescent="0.3">
      <c r="B457" s="28" t="s">
        <v>1272</v>
      </c>
      <c r="C457" s="57" t="s">
        <v>919</v>
      </c>
      <c r="D457" s="28">
        <v>1</v>
      </c>
      <c r="E457" s="28" t="s">
        <v>888</v>
      </c>
      <c r="F457" s="28"/>
      <c r="G457" s="28">
        <f t="shared" si="24"/>
        <v>0</v>
      </c>
    </row>
    <row r="458" spans="2:7" ht="27.6" outlineLevel="3" x14ac:dyDescent="0.3">
      <c r="B458" s="28" t="s">
        <v>1273</v>
      </c>
      <c r="C458" s="57" t="s">
        <v>920</v>
      </c>
      <c r="D458" s="28">
        <v>1</v>
      </c>
      <c r="E458" s="28" t="s">
        <v>888</v>
      </c>
      <c r="F458" s="28"/>
      <c r="G458" s="28">
        <f t="shared" si="24"/>
        <v>0</v>
      </c>
    </row>
    <row r="459" spans="2:7" ht="27.6" outlineLevel="3" x14ac:dyDescent="0.3">
      <c r="B459" s="28" t="s">
        <v>1274</v>
      </c>
      <c r="C459" s="57" t="s">
        <v>921</v>
      </c>
      <c r="D459" s="28">
        <v>1</v>
      </c>
      <c r="E459" s="28" t="s">
        <v>888</v>
      </c>
      <c r="F459" s="28"/>
      <c r="G459" s="28">
        <f t="shared" si="24"/>
        <v>0</v>
      </c>
    </row>
    <row r="460" spans="2:7" ht="27.6" outlineLevel="3" x14ac:dyDescent="0.3">
      <c r="B460" s="28" t="s">
        <v>1275</v>
      </c>
      <c r="C460" s="57" t="s">
        <v>922</v>
      </c>
      <c r="D460" s="28">
        <v>1</v>
      </c>
      <c r="E460" s="28" t="s">
        <v>888</v>
      </c>
      <c r="F460" s="28"/>
      <c r="G460" s="28">
        <f t="shared" si="24"/>
        <v>0</v>
      </c>
    </row>
    <row r="461" spans="2:7" ht="27.6" outlineLevel="3" x14ac:dyDescent="0.3">
      <c r="B461" s="28" t="s">
        <v>1276</v>
      </c>
      <c r="C461" s="57" t="s">
        <v>923</v>
      </c>
      <c r="D461" s="28">
        <v>1</v>
      </c>
      <c r="E461" s="28" t="s">
        <v>888</v>
      </c>
      <c r="F461" s="28"/>
      <c r="G461" s="28">
        <f t="shared" si="24"/>
        <v>0</v>
      </c>
    </row>
    <row r="462" spans="2:7" ht="27.6" outlineLevel="3" x14ac:dyDescent="0.3">
      <c r="B462" s="28" t="s">
        <v>1277</v>
      </c>
      <c r="C462" s="57" t="s">
        <v>924</v>
      </c>
      <c r="D462" s="28">
        <v>1</v>
      </c>
      <c r="E462" s="28" t="s">
        <v>888</v>
      </c>
      <c r="F462" s="28"/>
      <c r="G462" s="28">
        <f t="shared" si="24"/>
        <v>0</v>
      </c>
    </row>
    <row r="463" spans="2:7" ht="27.6" outlineLevel="3" x14ac:dyDescent="0.3">
      <c r="B463" s="28" t="s">
        <v>1278</v>
      </c>
      <c r="C463" s="57" t="s">
        <v>925</v>
      </c>
      <c r="D463" s="28">
        <v>1</v>
      </c>
      <c r="E463" s="28" t="s">
        <v>888</v>
      </c>
      <c r="F463" s="28"/>
      <c r="G463" s="28">
        <f t="shared" si="24"/>
        <v>0</v>
      </c>
    </row>
    <row r="464" spans="2:7" ht="27.6" outlineLevel="3" x14ac:dyDescent="0.3">
      <c r="B464" s="28" t="s">
        <v>1279</v>
      </c>
      <c r="C464" s="57" t="s">
        <v>926</v>
      </c>
      <c r="D464" s="28">
        <v>1</v>
      </c>
      <c r="E464" s="28" t="s">
        <v>888</v>
      </c>
      <c r="F464" s="28"/>
      <c r="G464" s="28">
        <f t="shared" si="24"/>
        <v>0</v>
      </c>
    </row>
    <row r="465" spans="2:7" ht="27.6" outlineLevel="3" x14ac:dyDescent="0.3">
      <c r="B465" s="28" t="s">
        <v>1280</v>
      </c>
      <c r="C465" s="57" t="s">
        <v>927</v>
      </c>
      <c r="D465" s="28">
        <v>1</v>
      </c>
      <c r="E465" s="28" t="s">
        <v>888</v>
      </c>
      <c r="F465" s="28"/>
      <c r="G465" s="28">
        <f t="shared" si="24"/>
        <v>0</v>
      </c>
    </row>
    <row r="466" spans="2:7" ht="27.6" outlineLevel="3" x14ac:dyDescent="0.3">
      <c r="B466" s="28" t="s">
        <v>1281</v>
      </c>
      <c r="C466" s="57" t="s">
        <v>928</v>
      </c>
      <c r="D466" s="28">
        <v>1</v>
      </c>
      <c r="E466" s="28" t="s">
        <v>888</v>
      </c>
      <c r="F466" s="28"/>
      <c r="G466" s="28">
        <f t="shared" si="24"/>
        <v>0</v>
      </c>
    </row>
    <row r="467" spans="2:7" ht="27.6" outlineLevel="3" x14ac:dyDescent="0.3">
      <c r="B467" s="28" t="s">
        <v>1282</v>
      </c>
      <c r="C467" s="57" t="s">
        <v>929</v>
      </c>
      <c r="D467" s="28">
        <v>1</v>
      </c>
      <c r="E467" s="28" t="s">
        <v>888</v>
      </c>
      <c r="F467" s="28"/>
      <c r="G467" s="28">
        <f t="shared" si="24"/>
        <v>0</v>
      </c>
    </row>
    <row r="468" spans="2:7" ht="27.6" outlineLevel="3" x14ac:dyDescent="0.3">
      <c r="B468" s="28" t="s">
        <v>1283</v>
      </c>
      <c r="C468" s="57" t="s">
        <v>930</v>
      </c>
      <c r="D468" s="28">
        <v>1</v>
      </c>
      <c r="E468" s="28" t="s">
        <v>888</v>
      </c>
      <c r="F468" s="28"/>
      <c r="G468" s="28">
        <f t="shared" si="24"/>
        <v>0</v>
      </c>
    </row>
    <row r="469" spans="2:7" ht="27.6" outlineLevel="3" x14ac:dyDescent="0.3">
      <c r="B469" s="28" t="s">
        <v>1284</v>
      </c>
      <c r="C469" s="57" t="s">
        <v>931</v>
      </c>
      <c r="D469" s="28">
        <v>1</v>
      </c>
      <c r="E469" s="28" t="s">
        <v>888</v>
      </c>
      <c r="F469" s="28"/>
      <c r="G469" s="28">
        <f t="shared" si="24"/>
        <v>0</v>
      </c>
    </row>
    <row r="470" spans="2:7" outlineLevel="3" x14ac:dyDescent="0.3">
      <c r="B470" s="28" t="s">
        <v>1285</v>
      </c>
      <c r="C470" s="57" t="s">
        <v>932</v>
      </c>
      <c r="D470" s="28">
        <v>2</v>
      </c>
      <c r="E470" s="28" t="s">
        <v>888</v>
      </c>
      <c r="F470" s="28"/>
      <c r="G470" s="28">
        <f t="shared" si="24"/>
        <v>0</v>
      </c>
    </row>
    <row r="471" spans="2:7" ht="27.6" outlineLevel="3" x14ac:dyDescent="0.3">
      <c r="B471" s="28" t="s">
        <v>1286</v>
      </c>
      <c r="C471" s="57" t="s">
        <v>933</v>
      </c>
      <c r="D471" s="28">
        <v>1</v>
      </c>
      <c r="E471" s="28" t="s">
        <v>888</v>
      </c>
      <c r="F471" s="28"/>
      <c r="G471" s="28">
        <f t="shared" si="24"/>
        <v>0</v>
      </c>
    </row>
    <row r="472" spans="2:7" outlineLevel="3" x14ac:dyDescent="0.3">
      <c r="B472" s="28" t="s">
        <v>1287</v>
      </c>
      <c r="C472" s="57" t="s">
        <v>934</v>
      </c>
      <c r="D472" s="28">
        <v>2</v>
      </c>
      <c r="E472" s="28" t="s">
        <v>888</v>
      </c>
      <c r="F472" s="28"/>
      <c r="G472" s="28">
        <f t="shared" si="24"/>
        <v>0</v>
      </c>
    </row>
    <row r="473" spans="2:7" outlineLevel="3" x14ac:dyDescent="0.3">
      <c r="B473" s="28" t="s">
        <v>1288</v>
      </c>
      <c r="C473" s="57" t="s">
        <v>935</v>
      </c>
      <c r="D473" s="28">
        <v>1</v>
      </c>
      <c r="E473" s="28" t="s">
        <v>888</v>
      </c>
      <c r="F473" s="28"/>
      <c r="G473" s="28">
        <f t="shared" si="24"/>
        <v>0</v>
      </c>
    </row>
    <row r="474" spans="2:7" outlineLevel="3" x14ac:dyDescent="0.3">
      <c r="B474" s="28" t="s">
        <v>1289</v>
      </c>
      <c r="C474" s="57" t="s">
        <v>936</v>
      </c>
      <c r="D474" s="28">
        <v>1</v>
      </c>
      <c r="E474" s="28" t="s">
        <v>888</v>
      </c>
      <c r="F474" s="28"/>
      <c r="G474" s="28">
        <f t="shared" si="24"/>
        <v>0</v>
      </c>
    </row>
    <row r="475" spans="2:7" outlineLevel="3" x14ac:dyDescent="0.3">
      <c r="B475" s="28" t="s">
        <v>1290</v>
      </c>
      <c r="C475" s="57" t="s">
        <v>937</v>
      </c>
      <c r="D475" s="28">
        <v>2</v>
      </c>
      <c r="E475" s="28" t="s">
        <v>888</v>
      </c>
      <c r="F475" s="28"/>
      <c r="G475" s="28">
        <f t="shared" si="24"/>
        <v>0</v>
      </c>
    </row>
    <row r="476" spans="2:7" outlineLevel="3" x14ac:dyDescent="0.3">
      <c r="B476" s="28" t="s">
        <v>1291</v>
      </c>
      <c r="C476" s="57" t="s">
        <v>938</v>
      </c>
      <c r="D476" s="28">
        <v>3</v>
      </c>
      <c r="E476" s="28" t="s">
        <v>888</v>
      </c>
      <c r="F476" s="28"/>
      <c r="G476" s="28">
        <f t="shared" si="24"/>
        <v>0</v>
      </c>
    </row>
    <row r="477" spans="2:7" outlineLevel="3" x14ac:dyDescent="0.3">
      <c r="B477" s="28" t="s">
        <v>1292</v>
      </c>
      <c r="C477" s="57" t="s">
        <v>939</v>
      </c>
      <c r="D477" s="28">
        <v>3</v>
      </c>
      <c r="E477" s="28" t="s">
        <v>888</v>
      </c>
      <c r="F477" s="28"/>
      <c r="G477" s="28">
        <f t="shared" si="24"/>
        <v>0</v>
      </c>
    </row>
    <row r="478" spans="2:7" outlineLevel="3" x14ac:dyDescent="0.3">
      <c r="B478" s="28" t="s">
        <v>1293</v>
      </c>
      <c r="C478" s="57" t="s">
        <v>940</v>
      </c>
      <c r="D478" s="28">
        <v>3</v>
      </c>
      <c r="E478" s="28" t="s">
        <v>888</v>
      </c>
      <c r="F478" s="28"/>
      <c r="G478" s="28">
        <f t="shared" si="24"/>
        <v>0</v>
      </c>
    </row>
    <row r="479" spans="2:7" outlineLevel="3" x14ac:dyDescent="0.3">
      <c r="B479" s="28" t="s">
        <v>1294</v>
      </c>
      <c r="C479" s="57" t="s">
        <v>941</v>
      </c>
      <c r="D479" s="28">
        <v>1</v>
      </c>
      <c r="E479" s="28" t="s">
        <v>888</v>
      </c>
      <c r="F479" s="28"/>
      <c r="G479" s="28">
        <f t="shared" si="24"/>
        <v>0</v>
      </c>
    </row>
    <row r="480" spans="2:7" outlineLevel="3" x14ac:dyDescent="0.3">
      <c r="B480" s="28" t="s">
        <v>1295</v>
      </c>
      <c r="C480" s="57" t="s">
        <v>937</v>
      </c>
      <c r="D480" s="28">
        <v>4</v>
      </c>
      <c r="E480" s="28" t="s">
        <v>888</v>
      </c>
      <c r="F480" s="28"/>
      <c r="G480" s="28">
        <f t="shared" si="24"/>
        <v>0</v>
      </c>
    </row>
    <row r="481" spans="2:8" outlineLevel="3" x14ac:dyDescent="0.3">
      <c r="B481" s="28" t="s">
        <v>1296</v>
      </c>
      <c r="C481" s="57" t="s">
        <v>938</v>
      </c>
      <c r="D481" s="28">
        <v>2</v>
      </c>
      <c r="E481" s="28" t="s">
        <v>888</v>
      </c>
      <c r="F481" s="28"/>
      <c r="G481" s="28">
        <f t="shared" si="24"/>
        <v>0</v>
      </c>
    </row>
    <row r="482" spans="2:8" outlineLevel="3" x14ac:dyDescent="0.3">
      <c r="B482" s="28" t="s">
        <v>1297</v>
      </c>
      <c r="C482" s="57" t="s">
        <v>939</v>
      </c>
      <c r="D482" s="28">
        <v>2</v>
      </c>
      <c r="E482" s="28" t="s">
        <v>888</v>
      </c>
      <c r="F482" s="28"/>
      <c r="G482" s="28">
        <f t="shared" si="24"/>
        <v>0</v>
      </c>
    </row>
    <row r="483" spans="2:8" outlineLevel="3" x14ac:dyDescent="0.3">
      <c r="B483" s="28" t="s">
        <v>1298</v>
      </c>
      <c r="C483" s="57" t="s">
        <v>940</v>
      </c>
      <c r="D483" s="28">
        <v>3</v>
      </c>
      <c r="E483" s="28" t="s">
        <v>888</v>
      </c>
      <c r="F483" s="28"/>
      <c r="G483" s="28">
        <f t="shared" si="24"/>
        <v>0</v>
      </c>
    </row>
    <row r="484" spans="2:8" outlineLevel="2" x14ac:dyDescent="0.3">
      <c r="B484" s="21" t="s">
        <v>504</v>
      </c>
      <c r="C484" s="22" t="s">
        <v>942</v>
      </c>
      <c r="D484" s="23"/>
      <c r="E484" s="24"/>
      <c r="F484" s="25"/>
      <c r="G484" s="26">
        <f>+SUBTOTAL(9,G485:G530)</f>
        <v>0</v>
      </c>
    </row>
    <row r="485" spans="2:8" outlineLevel="3" x14ac:dyDescent="0.3">
      <c r="B485" s="28" t="s">
        <v>505</v>
      </c>
      <c r="C485" s="57" t="s">
        <v>943</v>
      </c>
      <c r="D485" s="28">
        <v>1</v>
      </c>
      <c r="E485" s="28" t="s">
        <v>581</v>
      </c>
      <c r="F485" s="28"/>
      <c r="G485" s="28">
        <f t="shared" ref="G485:G530" si="26">ROUNDUP(D485*F485,2)</f>
        <v>0</v>
      </c>
      <c r="H485" s="122"/>
    </row>
    <row r="486" spans="2:8" outlineLevel="3" x14ac:dyDescent="0.3">
      <c r="B486" s="28" t="s">
        <v>506</v>
      </c>
      <c r="C486" s="57" t="s">
        <v>944</v>
      </c>
      <c r="D486" s="28">
        <v>3</v>
      </c>
      <c r="E486" s="28" t="s">
        <v>945</v>
      </c>
      <c r="F486" s="28"/>
      <c r="G486" s="28">
        <f t="shared" si="26"/>
        <v>0</v>
      </c>
    </row>
    <row r="487" spans="2:8" ht="27.6" outlineLevel="3" x14ac:dyDescent="0.3">
      <c r="B487" s="28" t="s">
        <v>508</v>
      </c>
      <c r="C487" s="57" t="s">
        <v>946</v>
      </c>
      <c r="D487" s="28">
        <v>400</v>
      </c>
      <c r="E487" s="28" t="s">
        <v>947</v>
      </c>
      <c r="F487" s="28"/>
      <c r="G487" s="28">
        <f t="shared" si="26"/>
        <v>0</v>
      </c>
    </row>
    <row r="488" spans="2:8" outlineLevel="3" x14ac:dyDescent="0.3">
      <c r="B488" s="28" t="s">
        <v>1299</v>
      </c>
      <c r="C488" s="57" t="s">
        <v>949</v>
      </c>
      <c r="D488" s="28">
        <v>1</v>
      </c>
      <c r="E488" s="28" t="s">
        <v>948</v>
      </c>
      <c r="F488" s="28"/>
      <c r="G488" s="28">
        <f t="shared" si="26"/>
        <v>0</v>
      </c>
    </row>
    <row r="489" spans="2:8" outlineLevel="3" x14ac:dyDescent="0.3">
      <c r="B489" s="28" t="s">
        <v>1300</v>
      </c>
      <c r="C489" s="57" t="s">
        <v>950</v>
      </c>
      <c r="D489" s="28">
        <v>2</v>
      </c>
      <c r="E489" s="28" t="s">
        <v>948</v>
      </c>
      <c r="F489" s="28"/>
      <c r="G489" s="28">
        <f t="shared" si="26"/>
        <v>0</v>
      </c>
    </row>
    <row r="490" spans="2:8" outlineLevel="3" x14ac:dyDescent="0.3">
      <c r="B490" s="28" t="s">
        <v>1301</v>
      </c>
      <c r="C490" s="57" t="s">
        <v>951</v>
      </c>
      <c r="D490" s="28">
        <v>3</v>
      </c>
      <c r="E490" s="28" t="s">
        <v>948</v>
      </c>
      <c r="F490" s="28"/>
      <c r="G490" s="28">
        <f t="shared" si="26"/>
        <v>0</v>
      </c>
    </row>
    <row r="491" spans="2:8" outlineLevel="3" x14ac:dyDescent="0.3">
      <c r="B491" s="28" t="s">
        <v>1302</v>
      </c>
      <c r="C491" s="57" t="s">
        <v>952</v>
      </c>
      <c r="D491" s="28">
        <v>12</v>
      </c>
      <c r="E491" s="28" t="s">
        <v>948</v>
      </c>
      <c r="F491" s="28"/>
      <c r="G491" s="28">
        <f t="shared" si="26"/>
        <v>0</v>
      </c>
    </row>
    <row r="492" spans="2:8" outlineLevel="3" x14ac:dyDescent="0.3">
      <c r="B492" s="28" t="s">
        <v>1303</v>
      </c>
      <c r="C492" s="57" t="s">
        <v>953</v>
      </c>
      <c r="D492" s="28">
        <v>2</v>
      </c>
      <c r="E492" s="28" t="s">
        <v>948</v>
      </c>
      <c r="F492" s="28"/>
      <c r="G492" s="28">
        <f t="shared" si="26"/>
        <v>0</v>
      </c>
    </row>
    <row r="493" spans="2:8" outlineLevel="3" x14ac:dyDescent="0.3">
      <c r="B493" s="28" t="s">
        <v>1304</v>
      </c>
      <c r="C493" s="57" t="s">
        <v>953</v>
      </c>
      <c r="D493" s="28">
        <v>1</v>
      </c>
      <c r="E493" s="28" t="s">
        <v>948</v>
      </c>
      <c r="F493" s="28"/>
      <c r="G493" s="28">
        <f t="shared" si="26"/>
        <v>0</v>
      </c>
    </row>
    <row r="494" spans="2:8" outlineLevel="3" x14ac:dyDescent="0.3">
      <c r="B494" s="28" t="s">
        <v>1305</v>
      </c>
      <c r="C494" s="57" t="s">
        <v>954</v>
      </c>
      <c r="D494" s="28">
        <v>4</v>
      </c>
      <c r="E494" s="28" t="s">
        <v>948</v>
      </c>
      <c r="F494" s="28"/>
      <c r="G494" s="28">
        <f t="shared" si="26"/>
        <v>0</v>
      </c>
    </row>
    <row r="495" spans="2:8" outlineLevel="3" x14ac:dyDescent="0.3">
      <c r="B495" s="28" t="s">
        <v>1306</v>
      </c>
      <c r="C495" s="57" t="s">
        <v>955</v>
      </c>
      <c r="D495" s="28">
        <v>2</v>
      </c>
      <c r="E495" s="28" t="s">
        <v>948</v>
      </c>
      <c r="F495" s="28"/>
      <c r="G495" s="28">
        <f t="shared" si="26"/>
        <v>0</v>
      </c>
    </row>
    <row r="496" spans="2:8" outlineLevel="3" x14ac:dyDescent="0.3">
      <c r="B496" s="28" t="s">
        <v>1307</v>
      </c>
      <c r="C496" s="57" t="s">
        <v>955</v>
      </c>
      <c r="D496" s="28">
        <v>14</v>
      </c>
      <c r="E496" s="28" t="s">
        <v>948</v>
      </c>
      <c r="F496" s="28"/>
      <c r="G496" s="28">
        <f t="shared" si="26"/>
        <v>0</v>
      </c>
    </row>
    <row r="497" spans="2:7" outlineLevel="3" x14ac:dyDescent="0.3">
      <c r="B497" s="28" t="s">
        <v>1308</v>
      </c>
      <c r="C497" s="57" t="s">
        <v>956</v>
      </c>
      <c r="D497" s="28">
        <v>12</v>
      </c>
      <c r="E497" s="28" t="s">
        <v>948</v>
      </c>
      <c r="F497" s="28"/>
      <c r="G497" s="28">
        <f t="shared" si="26"/>
        <v>0</v>
      </c>
    </row>
    <row r="498" spans="2:7" outlineLevel="3" x14ac:dyDescent="0.3">
      <c r="B498" s="28" t="s">
        <v>1309</v>
      </c>
      <c r="C498" s="57" t="s">
        <v>957</v>
      </c>
      <c r="D498" s="28">
        <v>2</v>
      </c>
      <c r="E498" s="28" t="s">
        <v>948</v>
      </c>
      <c r="F498" s="28"/>
      <c r="G498" s="28">
        <f t="shared" si="26"/>
        <v>0</v>
      </c>
    </row>
    <row r="499" spans="2:7" outlineLevel="3" x14ac:dyDescent="0.3">
      <c r="B499" s="28" t="s">
        <v>1310</v>
      </c>
      <c r="C499" s="57" t="s">
        <v>958</v>
      </c>
      <c r="D499" s="28">
        <v>2</v>
      </c>
      <c r="E499" s="28" t="s">
        <v>948</v>
      </c>
      <c r="F499" s="28"/>
      <c r="G499" s="28">
        <f t="shared" si="26"/>
        <v>0</v>
      </c>
    </row>
    <row r="500" spans="2:7" outlineLevel="3" x14ac:dyDescent="0.3">
      <c r="B500" s="28" t="s">
        <v>1311</v>
      </c>
      <c r="C500" s="57" t="s">
        <v>958</v>
      </c>
      <c r="D500" s="28">
        <v>2</v>
      </c>
      <c r="E500" s="28" t="s">
        <v>948</v>
      </c>
      <c r="F500" s="28"/>
      <c r="G500" s="28">
        <f t="shared" si="26"/>
        <v>0</v>
      </c>
    </row>
    <row r="501" spans="2:7" outlineLevel="3" x14ac:dyDescent="0.3">
      <c r="B501" s="28" t="s">
        <v>1312</v>
      </c>
      <c r="C501" s="57" t="s">
        <v>959</v>
      </c>
      <c r="D501" s="28">
        <v>2</v>
      </c>
      <c r="E501" s="28" t="s">
        <v>948</v>
      </c>
      <c r="F501" s="28"/>
      <c r="G501" s="28">
        <f t="shared" si="26"/>
        <v>0</v>
      </c>
    </row>
    <row r="502" spans="2:7" outlineLevel="3" x14ac:dyDescent="0.3">
      <c r="B502" s="28" t="s">
        <v>1313</v>
      </c>
      <c r="C502" s="57" t="s">
        <v>960</v>
      </c>
      <c r="D502" s="28">
        <v>6</v>
      </c>
      <c r="E502" s="28" t="s">
        <v>948</v>
      </c>
      <c r="F502" s="28"/>
      <c r="G502" s="28">
        <f t="shared" si="26"/>
        <v>0</v>
      </c>
    </row>
    <row r="503" spans="2:7" outlineLevel="3" x14ac:dyDescent="0.3">
      <c r="B503" s="28" t="s">
        <v>1314</v>
      </c>
      <c r="C503" s="57" t="s">
        <v>961</v>
      </c>
      <c r="D503" s="28">
        <v>4</v>
      </c>
      <c r="E503" s="28" t="s">
        <v>948</v>
      </c>
      <c r="F503" s="28"/>
      <c r="G503" s="28">
        <f t="shared" si="26"/>
        <v>0</v>
      </c>
    </row>
    <row r="504" spans="2:7" outlineLevel="3" x14ac:dyDescent="0.3">
      <c r="B504" s="28" t="s">
        <v>1315</v>
      </c>
      <c r="C504" s="57" t="s">
        <v>961</v>
      </c>
      <c r="D504" s="28">
        <v>1</v>
      </c>
      <c r="E504" s="28" t="s">
        <v>948</v>
      </c>
      <c r="F504" s="28"/>
      <c r="G504" s="28">
        <f t="shared" si="26"/>
        <v>0</v>
      </c>
    </row>
    <row r="505" spans="2:7" outlineLevel="3" x14ac:dyDescent="0.3">
      <c r="B505" s="28" t="s">
        <v>1316</v>
      </c>
      <c r="C505" s="57" t="s">
        <v>962</v>
      </c>
      <c r="D505" s="28">
        <v>3</v>
      </c>
      <c r="E505" s="28" t="s">
        <v>948</v>
      </c>
      <c r="F505" s="28"/>
      <c r="G505" s="28">
        <f t="shared" si="26"/>
        <v>0</v>
      </c>
    </row>
    <row r="506" spans="2:7" outlineLevel="3" x14ac:dyDescent="0.3">
      <c r="B506" s="28" t="s">
        <v>1317</v>
      </c>
      <c r="C506" s="57" t="s">
        <v>963</v>
      </c>
      <c r="D506" s="28">
        <v>6</v>
      </c>
      <c r="E506" s="28" t="s">
        <v>948</v>
      </c>
      <c r="F506" s="28"/>
      <c r="G506" s="28">
        <f t="shared" si="26"/>
        <v>0</v>
      </c>
    </row>
    <row r="507" spans="2:7" outlineLevel="3" x14ac:dyDescent="0.3">
      <c r="B507" s="28" t="s">
        <v>1318</v>
      </c>
      <c r="C507" s="57" t="s">
        <v>964</v>
      </c>
      <c r="D507" s="28">
        <v>2</v>
      </c>
      <c r="E507" s="28" t="s">
        <v>948</v>
      </c>
      <c r="F507" s="28"/>
      <c r="G507" s="28">
        <f t="shared" si="26"/>
        <v>0</v>
      </c>
    </row>
    <row r="508" spans="2:7" outlineLevel="3" x14ac:dyDescent="0.3">
      <c r="B508" s="28" t="s">
        <v>1319</v>
      </c>
      <c r="C508" s="57" t="s">
        <v>965</v>
      </c>
      <c r="D508" s="28">
        <v>2</v>
      </c>
      <c r="E508" s="28" t="s">
        <v>948</v>
      </c>
      <c r="F508" s="28"/>
      <c r="G508" s="28">
        <f t="shared" si="26"/>
        <v>0</v>
      </c>
    </row>
    <row r="509" spans="2:7" outlineLevel="3" x14ac:dyDescent="0.3">
      <c r="B509" s="28" t="s">
        <v>1320</v>
      </c>
      <c r="C509" s="57" t="s">
        <v>966</v>
      </c>
      <c r="D509" s="28">
        <v>6</v>
      </c>
      <c r="E509" s="28" t="s">
        <v>948</v>
      </c>
      <c r="F509" s="28"/>
      <c r="G509" s="28">
        <f t="shared" si="26"/>
        <v>0</v>
      </c>
    </row>
    <row r="510" spans="2:7" outlineLevel="3" x14ac:dyDescent="0.3">
      <c r="B510" s="28" t="s">
        <v>1321</v>
      </c>
      <c r="C510" s="57" t="s">
        <v>967</v>
      </c>
      <c r="D510" s="28">
        <v>4</v>
      </c>
      <c r="E510" s="28" t="s">
        <v>948</v>
      </c>
      <c r="F510" s="28"/>
      <c r="G510" s="28">
        <f t="shared" si="26"/>
        <v>0</v>
      </c>
    </row>
    <row r="511" spans="2:7" outlineLevel="3" x14ac:dyDescent="0.3">
      <c r="B511" s="28" t="s">
        <v>1322</v>
      </c>
      <c r="C511" s="57" t="s">
        <v>968</v>
      </c>
      <c r="D511" s="28">
        <v>6</v>
      </c>
      <c r="E511" s="28" t="s">
        <v>948</v>
      </c>
      <c r="F511" s="28"/>
      <c r="G511" s="28">
        <f t="shared" si="26"/>
        <v>0</v>
      </c>
    </row>
    <row r="512" spans="2:7" outlineLevel="3" x14ac:dyDescent="0.3">
      <c r="B512" s="28" t="s">
        <v>1323</v>
      </c>
      <c r="C512" s="57" t="s">
        <v>969</v>
      </c>
      <c r="D512" s="28">
        <v>1</v>
      </c>
      <c r="E512" s="28" t="s">
        <v>948</v>
      </c>
      <c r="F512" s="28"/>
      <c r="G512" s="28">
        <f t="shared" si="26"/>
        <v>0</v>
      </c>
    </row>
    <row r="513" spans="2:7" outlineLevel="3" x14ac:dyDescent="0.3">
      <c r="B513" s="28" t="s">
        <v>1324</v>
      </c>
      <c r="C513" s="57" t="s">
        <v>969</v>
      </c>
      <c r="D513" s="28">
        <v>2</v>
      </c>
      <c r="E513" s="28" t="s">
        <v>948</v>
      </c>
      <c r="F513" s="28"/>
      <c r="G513" s="28">
        <f t="shared" si="26"/>
        <v>0</v>
      </c>
    </row>
    <row r="514" spans="2:7" ht="27.6" outlineLevel="3" x14ac:dyDescent="0.3">
      <c r="B514" s="28" t="s">
        <v>1325</v>
      </c>
      <c r="C514" s="57" t="s">
        <v>970</v>
      </c>
      <c r="D514" s="28">
        <v>3</v>
      </c>
      <c r="E514" s="28" t="s">
        <v>948</v>
      </c>
      <c r="F514" s="28"/>
      <c r="G514" s="28">
        <f t="shared" si="26"/>
        <v>0</v>
      </c>
    </row>
    <row r="515" spans="2:7" ht="27.6" outlineLevel="3" x14ac:dyDescent="0.3">
      <c r="B515" s="28" t="s">
        <v>1326</v>
      </c>
      <c r="C515" s="57" t="s">
        <v>971</v>
      </c>
      <c r="D515" s="28">
        <v>1</v>
      </c>
      <c r="E515" s="28" t="s">
        <v>948</v>
      </c>
      <c r="F515" s="28"/>
      <c r="G515" s="28">
        <f t="shared" si="26"/>
        <v>0</v>
      </c>
    </row>
    <row r="516" spans="2:7" outlineLevel="3" x14ac:dyDescent="0.3">
      <c r="B516" s="28" t="s">
        <v>1327</v>
      </c>
      <c r="C516" s="57" t="s">
        <v>972</v>
      </c>
      <c r="D516" s="28">
        <v>1</v>
      </c>
      <c r="E516" s="28" t="s">
        <v>948</v>
      </c>
      <c r="F516" s="28"/>
      <c r="G516" s="28">
        <f t="shared" si="26"/>
        <v>0</v>
      </c>
    </row>
    <row r="517" spans="2:7" outlineLevel="3" x14ac:dyDescent="0.3">
      <c r="B517" s="28" t="s">
        <v>1328</v>
      </c>
      <c r="C517" s="57" t="s">
        <v>973</v>
      </c>
      <c r="D517" s="28">
        <v>1</v>
      </c>
      <c r="E517" s="28" t="s">
        <v>948</v>
      </c>
      <c r="F517" s="28"/>
      <c r="G517" s="28">
        <f t="shared" si="26"/>
        <v>0</v>
      </c>
    </row>
    <row r="518" spans="2:7" outlineLevel="3" x14ac:dyDescent="0.3">
      <c r="B518" s="28" t="s">
        <v>1329</v>
      </c>
      <c r="C518" s="57" t="s">
        <v>974</v>
      </c>
      <c r="D518" s="28">
        <v>1</v>
      </c>
      <c r="E518" s="28" t="s">
        <v>948</v>
      </c>
      <c r="F518" s="28"/>
      <c r="G518" s="28">
        <f t="shared" si="26"/>
        <v>0</v>
      </c>
    </row>
    <row r="519" spans="2:7" outlineLevel="3" x14ac:dyDescent="0.3">
      <c r="B519" s="28" t="s">
        <v>1330</v>
      </c>
      <c r="C519" s="57" t="s">
        <v>975</v>
      </c>
      <c r="D519" s="28">
        <v>5</v>
      </c>
      <c r="E519" s="28" t="s">
        <v>948</v>
      </c>
      <c r="F519" s="28"/>
      <c r="G519" s="28">
        <f t="shared" si="26"/>
        <v>0</v>
      </c>
    </row>
    <row r="520" spans="2:7" outlineLevel="3" x14ac:dyDescent="0.3">
      <c r="B520" s="28" t="s">
        <v>1331</v>
      </c>
      <c r="C520" s="57" t="s">
        <v>976</v>
      </c>
      <c r="D520" s="28">
        <v>2</v>
      </c>
      <c r="E520" s="28" t="s">
        <v>948</v>
      </c>
      <c r="F520" s="28"/>
      <c r="G520" s="28">
        <f t="shared" si="26"/>
        <v>0</v>
      </c>
    </row>
    <row r="521" spans="2:7" outlineLevel="3" x14ac:dyDescent="0.3">
      <c r="B521" s="28" t="s">
        <v>1332</v>
      </c>
      <c r="C521" s="57" t="s">
        <v>976</v>
      </c>
      <c r="D521" s="28">
        <v>1</v>
      </c>
      <c r="E521" s="28" t="s">
        <v>948</v>
      </c>
      <c r="F521" s="28"/>
      <c r="G521" s="28">
        <f t="shared" si="26"/>
        <v>0</v>
      </c>
    </row>
    <row r="522" spans="2:7" outlineLevel="3" x14ac:dyDescent="0.3">
      <c r="B522" s="28" t="s">
        <v>1333</v>
      </c>
      <c r="C522" s="57" t="s">
        <v>977</v>
      </c>
      <c r="D522" s="28">
        <v>2</v>
      </c>
      <c r="E522" s="28" t="s">
        <v>948</v>
      </c>
      <c r="F522" s="28"/>
      <c r="G522" s="28">
        <f t="shared" si="26"/>
        <v>0</v>
      </c>
    </row>
    <row r="523" spans="2:7" outlineLevel="3" x14ac:dyDescent="0.3">
      <c r="B523" s="28" t="s">
        <v>1334</v>
      </c>
      <c r="C523" s="57" t="s">
        <v>978</v>
      </c>
      <c r="D523" s="28">
        <v>4</v>
      </c>
      <c r="E523" s="28" t="s">
        <v>948</v>
      </c>
      <c r="F523" s="28"/>
      <c r="G523" s="28">
        <f t="shared" si="26"/>
        <v>0</v>
      </c>
    </row>
    <row r="524" spans="2:7" outlineLevel="3" x14ac:dyDescent="0.3">
      <c r="B524" s="28" t="s">
        <v>1335</v>
      </c>
      <c r="C524" s="57" t="s">
        <v>979</v>
      </c>
      <c r="D524" s="28">
        <v>12</v>
      </c>
      <c r="E524" s="28" t="s">
        <v>948</v>
      </c>
      <c r="F524" s="28"/>
      <c r="G524" s="28">
        <f t="shared" si="26"/>
        <v>0</v>
      </c>
    </row>
    <row r="525" spans="2:7" outlineLevel="3" x14ac:dyDescent="0.3">
      <c r="B525" s="28" t="s">
        <v>1336</v>
      </c>
      <c r="C525" s="57" t="s">
        <v>980</v>
      </c>
      <c r="D525" s="28">
        <v>3</v>
      </c>
      <c r="E525" s="28" t="s">
        <v>948</v>
      </c>
      <c r="F525" s="28"/>
      <c r="G525" s="28">
        <f t="shared" si="26"/>
        <v>0</v>
      </c>
    </row>
    <row r="526" spans="2:7" outlineLevel="3" x14ac:dyDescent="0.3">
      <c r="B526" s="28" t="s">
        <v>1337</v>
      </c>
      <c r="C526" s="57" t="s">
        <v>981</v>
      </c>
      <c r="D526" s="28">
        <v>2</v>
      </c>
      <c r="E526" s="28" t="s">
        <v>948</v>
      </c>
      <c r="F526" s="28"/>
      <c r="G526" s="28">
        <f t="shared" si="26"/>
        <v>0</v>
      </c>
    </row>
    <row r="527" spans="2:7" outlineLevel="3" x14ac:dyDescent="0.3">
      <c r="B527" s="28" t="s">
        <v>1338</v>
      </c>
      <c r="C527" s="57" t="s">
        <v>982</v>
      </c>
      <c r="D527" s="28">
        <v>1</v>
      </c>
      <c r="E527" s="28" t="s">
        <v>948</v>
      </c>
      <c r="F527" s="28"/>
      <c r="G527" s="28">
        <f t="shared" si="26"/>
        <v>0</v>
      </c>
    </row>
    <row r="528" spans="2:7" outlineLevel="3" x14ac:dyDescent="0.3">
      <c r="B528" s="28" t="s">
        <v>1339</v>
      </c>
      <c r="C528" s="57" t="s">
        <v>982</v>
      </c>
      <c r="D528" s="28">
        <v>2</v>
      </c>
      <c r="E528" s="28" t="s">
        <v>948</v>
      </c>
      <c r="F528" s="28"/>
      <c r="G528" s="28">
        <f t="shared" si="26"/>
        <v>0</v>
      </c>
    </row>
    <row r="529" spans="2:8" outlineLevel="3" x14ac:dyDescent="0.3">
      <c r="B529" s="28" t="s">
        <v>1340</v>
      </c>
      <c r="C529" s="57" t="s">
        <v>983</v>
      </c>
      <c r="D529" s="28">
        <v>5</v>
      </c>
      <c r="E529" s="28" t="s">
        <v>948</v>
      </c>
      <c r="F529" s="28"/>
      <c r="G529" s="28">
        <f t="shared" si="26"/>
        <v>0</v>
      </c>
    </row>
    <row r="530" spans="2:8" ht="41.4" outlineLevel="3" x14ac:dyDescent="0.3">
      <c r="B530" s="28" t="s">
        <v>1341</v>
      </c>
      <c r="C530" s="57" t="s">
        <v>991</v>
      </c>
      <c r="D530" s="28">
        <v>1</v>
      </c>
      <c r="E530" s="28" t="s">
        <v>948</v>
      </c>
      <c r="F530" s="28"/>
      <c r="G530" s="28">
        <f t="shared" si="26"/>
        <v>0</v>
      </c>
    </row>
    <row r="531" spans="2:8" outlineLevel="2" x14ac:dyDescent="0.3">
      <c r="B531" s="21" t="s">
        <v>1342</v>
      </c>
      <c r="C531" s="22" t="s">
        <v>984</v>
      </c>
      <c r="D531" s="23"/>
      <c r="E531" s="24"/>
      <c r="F531" s="25"/>
      <c r="G531" s="26">
        <f>+SUBTOTAL(9,G532:G533)</f>
        <v>0</v>
      </c>
    </row>
    <row r="532" spans="2:8" outlineLevel="3" x14ac:dyDescent="0.3">
      <c r="B532" s="28" t="s">
        <v>1343</v>
      </c>
      <c r="C532" s="57" t="s">
        <v>985</v>
      </c>
      <c r="D532" s="28">
        <f>84+130</f>
        <v>214</v>
      </c>
      <c r="E532" s="28" t="s">
        <v>396</v>
      </c>
      <c r="F532" s="28"/>
      <c r="G532" s="28">
        <f t="shared" ref="G532:G533" si="27">ROUNDUP(D532*F532,2)</f>
        <v>0</v>
      </c>
    </row>
    <row r="533" spans="2:8" ht="27.6" outlineLevel="3" x14ac:dyDescent="0.3">
      <c r="B533" s="28" t="s">
        <v>1344</v>
      </c>
      <c r="C533" s="57" t="s">
        <v>986</v>
      </c>
      <c r="D533" s="28">
        <v>2</v>
      </c>
      <c r="E533" s="28" t="s">
        <v>396</v>
      </c>
      <c r="F533" s="28"/>
      <c r="G533" s="28">
        <f t="shared" si="27"/>
        <v>0</v>
      </c>
    </row>
    <row r="534" spans="2:8" outlineLevel="2" x14ac:dyDescent="0.3">
      <c r="B534" s="21" t="s">
        <v>1345</v>
      </c>
      <c r="C534" s="22" t="s">
        <v>987</v>
      </c>
      <c r="D534" s="23"/>
      <c r="E534" s="24"/>
      <c r="F534" s="25"/>
      <c r="G534" s="26">
        <f>+SUBTOTAL(9,G535)</f>
        <v>0</v>
      </c>
    </row>
    <row r="535" spans="2:8" ht="69" outlineLevel="3" x14ac:dyDescent="0.3">
      <c r="B535" s="28" t="s">
        <v>1346</v>
      </c>
      <c r="C535" s="57" t="s">
        <v>988</v>
      </c>
      <c r="D535" s="28">
        <v>130</v>
      </c>
      <c r="E535" s="28" t="s">
        <v>2283</v>
      </c>
      <c r="F535" s="28"/>
      <c r="G535" s="28">
        <f t="shared" ref="G535" si="28">ROUNDUP(D535*F535,2)</f>
        <v>0</v>
      </c>
      <c r="H535" s="122"/>
    </row>
    <row r="536" spans="2:8" outlineLevel="2" x14ac:dyDescent="0.3">
      <c r="B536" s="21" t="s">
        <v>1347</v>
      </c>
      <c r="C536" s="22" t="s">
        <v>989</v>
      </c>
      <c r="D536" s="23"/>
      <c r="E536" s="24"/>
      <c r="F536" s="25"/>
      <c r="G536" s="26">
        <f>+SUBTOTAL(9,G537)</f>
        <v>0</v>
      </c>
    </row>
    <row r="537" spans="2:8" ht="165.6" outlineLevel="3" x14ac:dyDescent="0.3">
      <c r="B537" s="28" t="s">
        <v>1348</v>
      </c>
      <c r="C537" s="57" t="s">
        <v>990</v>
      </c>
      <c r="D537" s="28">
        <v>1</v>
      </c>
      <c r="E537" s="28" t="s">
        <v>581</v>
      </c>
      <c r="F537" s="28"/>
      <c r="G537" s="28">
        <f t="shared" ref="G537" si="29">ROUNDUP(D537*F537,2)</f>
        <v>0</v>
      </c>
      <c r="H537" s="122"/>
    </row>
    <row r="538" spans="2:8" outlineLevel="2" x14ac:dyDescent="0.3">
      <c r="B538" s="21" t="s">
        <v>1349</v>
      </c>
      <c r="C538" s="22" t="s">
        <v>1017</v>
      </c>
      <c r="D538" s="23"/>
      <c r="E538" s="24"/>
      <c r="F538" s="25"/>
      <c r="G538" s="26">
        <f>+SUBTOTAL(9,G539:G551)</f>
        <v>0</v>
      </c>
    </row>
    <row r="539" spans="2:8" ht="27.6" outlineLevel="3" x14ac:dyDescent="0.3">
      <c r="B539" s="28" t="s">
        <v>1350</v>
      </c>
      <c r="C539" s="57" t="s">
        <v>993</v>
      </c>
      <c r="D539" s="28">
        <v>72</v>
      </c>
      <c r="E539" s="28" t="s">
        <v>396</v>
      </c>
      <c r="F539" s="28"/>
      <c r="G539" s="28">
        <f t="shared" ref="G539:G551" si="30">ROUNDUP(D539*F539,2)</f>
        <v>0</v>
      </c>
    </row>
    <row r="540" spans="2:8" ht="55.2" outlineLevel="3" x14ac:dyDescent="0.3">
      <c r="B540" s="28" t="s">
        <v>1351</v>
      </c>
      <c r="C540" s="57" t="s">
        <v>994</v>
      </c>
      <c r="D540" s="28">
        <v>9</v>
      </c>
      <c r="E540" s="28" t="s">
        <v>396</v>
      </c>
      <c r="F540" s="28"/>
      <c r="G540" s="28">
        <f t="shared" si="30"/>
        <v>0</v>
      </c>
    </row>
    <row r="541" spans="2:8" ht="55.2" outlineLevel="3" x14ac:dyDescent="0.3">
      <c r="B541" s="28" t="s">
        <v>1352</v>
      </c>
      <c r="C541" s="57" t="s">
        <v>995</v>
      </c>
      <c r="D541" s="28">
        <v>27</v>
      </c>
      <c r="E541" s="28" t="s">
        <v>396</v>
      </c>
      <c r="F541" s="28"/>
      <c r="G541" s="28">
        <f t="shared" si="30"/>
        <v>0</v>
      </c>
    </row>
    <row r="542" spans="2:8" ht="27.6" outlineLevel="3" x14ac:dyDescent="0.3">
      <c r="B542" s="28" t="s">
        <v>1353</v>
      </c>
      <c r="C542" s="57" t="s">
        <v>996</v>
      </c>
      <c r="D542" s="28">
        <v>6</v>
      </c>
      <c r="E542" s="28" t="s">
        <v>396</v>
      </c>
      <c r="F542" s="28"/>
      <c r="G542" s="28">
        <f t="shared" si="30"/>
        <v>0</v>
      </c>
    </row>
    <row r="543" spans="2:8" ht="41.4" outlineLevel="3" x14ac:dyDescent="0.3">
      <c r="B543" s="28" t="s">
        <v>1354</v>
      </c>
      <c r="C543" s="57" t="s">
        <v>997</v>
      </c>
      <c r="D543" s="28">
        <v>63</v>
      </c>
      <c r="E543" s="28" t="s">
        <v>396</v>
      </c>
      <c r="F543" s="28"/>
      <c r="G543" s="28">
        <f t="shared" si="30"/>
        <v>0</v>
      </c>
    </row>
    <row r="544" spans="2:8" ht="69" outlineLevel="3" x14ac:dyDescent="0.3">
      <c r="B544" s="28" t="s">
        <v>1355</v>
      </c>
      <c r="C544" s="57" t="s">
        <v>998</v>
      </c>
      <c r="D544" s="28">
        <v>77</v>
      </c>
      <c r="E544" s="28" t="s">
        <v>396</v>
      </c>
      <c r="F544" s="28"/>
      <c r="G544" s="28">
        <f t="shared" si="30"/>
        <v>0</v>
      </c>
    </row>
    <row r="545" spans="2:7" ht="69" outlineLevel="3" x14ac:dyDescent="0.3">
      <c r="B545" s="28" t="s">
        <v>1356</v>
      </c>
      <c r="C545" s="57" t="s">
        <v>999</v>
      </c>
      <c r="D545" s="28">
        <v>15</v>
      </c>
      <c r="E545" s="28" t="s">
        <v>396</v>
      </c>
      <c r="F545" s="28"/>
      <c r="G545" s="28">
        <f t="shared" si="30"/>
        <v>0</v>
      </c>
    </row>
    <row r="546" spans="2:7" ht="55.2" outlineLevel="3" x14ac:dyDescent="0.3">
      <c r="B546" s="28" t="s">
        <v>1357</v>
      </c>
      <c r="C546" s="57" t="s">
        <v>1000</v>
      </c>
      <c r="D546" s="28">
        <v>3</v>
      </c>
      <c r="E546" s="28" t="s">
        <v>396</v>
      </c>
      <c r="F546" s="28"/>
      <c r="G546" s="28">
        <f t="shared" si="30"/>
        <v>0</v>
      </c>
    </row>
    <row r="547" spans="2:7" ht="27.6" outlineLevel="3" x14ac:dyDescent="0.3">
      <c r="B547" s="28" t="s">
        <v>1358</v>
      </c>
      <c r="C547" s="57" t="s">
        <v>1007</v>
      </c>
      <c r="D547" s="28">
        <v>3</v>
      </c>
      <c r="E547" s="28" t="s">
        <v>396</v>
      </c>
      <c r="F547" s="28"/>
      <c r="G547" s="28">
        <f t="shared" si="30"/>
        <v>0</v>
      </c>
    </row>
    <row r="548" spans="2:7" ht="27.6" outlineLevel="3" x14ac:dyDescent="0.3">
      <c r="B548" s="28" t="s">
        <v>1359</v>
      </c>
      <c r="C548" s="57" t="s">
        <v>1008</v>
      </c>
      <c r="D548" s="28">
        <v>3</v>
      </c>
      <c r="E548" s="28" t="s">
        <v>396</v>
      </c>
      <c r="F548" s="28"/>
      <c r="G548" s="28">
        <f t="shared" si="30"/>
        <v>0</v>
      </c>
    </row>
    <row r="549" spans="2:7" ht="27.6" outlineLevel="3" x14ac:dyDescent="0.3">
      <c r="B549" s="28" t="s">
        <v>1360</v>
      </c>
      <c r="C549" s="57" t="s">
        <v>1009</v>
      </c>
      <c r="D549" s="28">
        <v>1</v>
      </c>
      <c r="E549" s="28" t="s">
        <v>396</v>
      </c>
      <c r="F549" s="28"/>
      <c r="G549" s="28">
        <f t="shared" si="30"/>
        <v>0</v>
      </c>
    </row>
    <row r="550" spans="2:7" outlineLevel="3" x14ac:dyDescent="0.3">
      <c r="B550" s="28" t="s">
        <v>1361</v>
      </c>
      <c r="C550" s="57" t="s">
        <v>1010</v>
      </c>
      <c r="D550" s="28">
        <v>3</v>
      </c>
      <c r="E550" s="28" t="s">
        <v>396</v>
      </c>
      <c r="F550" s="28"/>
      <c r="G550" s="28">
        <f t="shared" si="30"/>
        <v>0</v>
      </c>
    </row>
    <row r="551" spans="2:7" outlineLevel="3" x14ac:dyDescent="0.3">
      <c r="B551" s="28" t="s">
        <v>1362</v>
      </c>
      <c r="C551" s="57" t="s">
        <v>1011</v>
      </c>
      <c r="D551" s="28">
        <v>6</v>
      </c>
      <c r="E551" s="28" t="s">
        <v>396</v>
      </c>
      <c r="F551" s="28"/>
      <c r="G551" s="28">
        <f t="shared" si="30"/>
        <v>0</v>
      </c>
    </row>
    <row r="552" spans="2:7" outlineLevel="2" x14ac:dyDescent="0.3">
      <c r="B552" s="21" t="s">
        <v>1363</v>
      </c>
      <c r="C552" s="22" t="s">
        <v>1016</v>
      </c>
      <c r="D552" s="23"/>
      <c r="E552" s="24"/>
      <c r="F552" s="25"/>
      <c r="G552" s="26">
        <f>+SUBTOTAL(9,G553:G569)</f>
        <v>0</v>
      </c>
    </row>
    <row r="553" spans="2:7" ht="27.6" outlineLevel="3" x14ac:dyDescent="0.3">
      <c r="B553" s="28" t="s">
        <v>1364</v>
      </c>
      <c r="C553" s="57" t="s">
        <v>992</v>
      </c>
      <c r="D553" s="28">
        <v>65</v>
      </c>
      <c r="E553" s="28" t="s">
        <v>396</v>
      </c>
      <c r="F553" s="28"/>
      <c r="G553" s="28">
        <f t="shared" ref="G553:G569" si="31">ROUNDUP(D553*F553,2)</f>
        <v>0</v>
      </c>
    </row>
    <row r="554" spans="2:7" ht="27.6" outlineLevel="3" x14ac:dyDescent="0.3">
      <c r="B554" s="28" t="s">
        <v>1365</v>
      </c>
      <c r="C554" s="57" t="s">
        <v>993</v>
      </c>
      <c r="D554" s="28">
        <v>3</v>
      </c>
      <c r="E554" s="28" t="s">
        <v>396</v>
      </c>
      <c r="F554" s="28"/>
      <c r="G554" s="28">
        <f t="shared" si="31"/>
        <v>0</v>
      </c>
    </row>
    <row r="555" spans="2:7" ht="55.2" outlineLevel="3" x14ac:dyDescent="0.3">
      <c r="B555" s="28" t="s">
        <v>1366</v>
      </c>
      <c r="C555" s="57" t="s">
        <v>1012</v>
      </c>
      <c r="D555" s="28">
        <v>3</v>
      </c>
      <c r="E555" s="28" t="s">
        <v>396</v>
      </c>
      <c r="F555" s="28"/>
      <c r="G555" s="28">
        <f t="shared" si="31"/>
        <v>0</v>
      </c>
    </row>
    <row r="556" spans="2:7" ht="55.2" outlineLevel="3" x14ac:dyDescent="0.3">
      <c r="B556" s="28" t="s">
        <v>1367</v>
      </c>
      <c r="C556" s="57" t="s">
        <v>1013</v>
      </c>
      <c r="D556" s="28">
        <v>9</v>
      </c>
      <c r="E556" s="28" t="s">
        <v>396</v>
      </c>
      <c r="F556" s="28"/>
      <c r="G556" s="28">
        <f t="shared" si="31"/>
        <v>0</v>
      </c>
    </row>
    <row r="557" spans="2:7" ht="27.6" outlineLevel="3" x14ac:dyDescent="0.3">
      <c r="B557" s="28" t="s">
        <v>1368</v>
      </c>
      <c r="C557" s="57" t="s">
        <v>996</v>
      </c>
      <c r="D557" s="28">
        <v>2</v>
      </c>
      <c r="E557" s="28" t="s">
        <v>396</v>
      </c>
      <c r="F557" s="28"/>
      <c r="G557" s="28">
        <f t="shared" si="31"/>
        <v>0</v>
      </c>
    </row>
    <row r="558" spans="2:7" ht="41.4" outlineLevel="3" x14ac:dyDescent="0.3">
      <c r="B558" s="28" t="s">
        <v>1369</v>
      </c>
      <c r="C558" s="57" t="s">
        <v>997</v>
      </c>
      <c r="D558" s="28">
        <v>23</v>
      </c>
      <c r="E558" s="28" t="s">
        <v>396</v>
      </c>
      <c r="F558" s="28"/>
      <c r="G558" s="28">
        <f t="shared" si="31"/>
        <v>0</v>
      </c>
    </row>
    <row r="559" spans="2:7" ht="69" outlineLevel="3" x14ac:dyDescent="0.3">
      <c r="B559" s="28" t="s">
        <v>1370</v>
      </c>
      <c r="C559" s="57" t="s">
        <v>998</v>
      </c>
      <c r="D559" s="28">
        <v>25</v>
      </c>
      <c r="E559" s="28" t="s">
        <v>396</v>
      </c>
      <c r="F559" s="28"/>
      <c r="G559" s="28">
        <f t="shared" si="31"/>
        <v>0</v>
      </c>
    </row>
    <row r="560" spans="2:7" ht="69" outlineLevel="3" x14ac:dyDescent="0.3">
      <c r="B560" s="28" t="s">
        <v>1371</v>
      </c>
      <c r="C560" s="57" t="s">
        <v>1014</v>
      </c>
      <c r="D560" s="28">
        <v>5</v>
      </c>
      <c r="E560" s="28" t="s">
        <v>396</v>
      </c>
      <c r="F560" s="28"/>
      <c r="G560" s="28">
        <f t="shared" si="31"/>
        <v>0</v>
      </c>
    </row>
    <row r="561" spans="2:7" ht="55.2" outlineLevel="3" x14ac:dyDescent="0.3">
      <c r="B561" s="28" t="s">
        <v>1372</v>
      </c>
      <c r="C561" s="57" t="s">
        <v>1015</v>
      </c>
      <c r="D561" s="28">
        <v>1</v>
      </c>
      <c r="E561" s="28" t="s">
        <v>396</v>
      </c>
      <c r="F561" s="28"/>
      <c r="G561" s="28">
        <f t="shared" si="31"/>
        <v>0</v>
      </c>
    </row>
    <row r="562" spans="2:7" outlineLevel="3" x14ac:dyDescent="0.3">
      <c r="B562" s="28" t="s">
        <v>1373</v>
      </c>
      <c r="C562" s="57" t="s">
        <v>1001</v>
      </c>
      <c r="D562" s="28">
        <v>18</v>
      </c>
      <c r="E562" s="28" t="s">
        <v>396</v>
      </c>
      <c r="F562" s="28"/>
      <c r="G562" s="28">
        <f t="shared" si="31"/>
        <v>0</v>
      </c>
    </row>
    <row r="563" spans="2:7" ht="27.6" outlineLevel="3" x14ac:dyDescent="0.3">
      <c r="B563" s="28" t="s">
        <v>1374</v>
      </c>
      <c r="C563" s="57" t="s">
        <v>1002</v>
      </c>
      <c r="D563" s="28">
        <v>14</v>
      </c>
      <c r="E563" s="28" t="s">
        <v>396</v>
      </c>
      <c r="F563" s="28"/>
      <c r="G563" s="28">
        <f t="shared" si="31"/>
        <v>0</v>
      </c>
    </row>
    <row r="564" spans="2:7" ht="27.6" outlineLevel="3" x14ac:dyDescent="0.3">
      <c r="B564" s="28" t="s">
        <v>1375</v>
      </c>
      <c r="C564" s="57" t="s">
        <v>1003</v>
      </c>
      <c r="D564" s="28">
        <v>11</v>
      </c>
      <c r="E564" s="28" t="s">
        <v>396</v>
      </c>
      <c r="F564" s="28"/>
      <c r="G564" s="28">
        <f t="shared" si="31"/>
        <v>0</v>
      </c>
    </row>
    <row r="565" spans="2:7" ht="27.6" outlineLevel="3" x14ac:dyDescent="0.3">
      <c r="B565" s="28" t="s">
        <v>1376</v>
      </c>
      <c r="C565" s="57" t="s">
        <v>1004</v>
      </c>
      <c r="D565" s="28">
        <v>3</v>
      </c>
      <c r="E565" s="28" t="s">
        <v>396</v>
      </c>
      <c r="F565" s="28"/>
      <c r="G565" s="28">
        <f t="shared" si="31"/>
        <v>0</v>
      </c>
    </row>
    <row r="566" spans="2:7" ht="27.6" outlineLevel="3" x14ac:dyDescent="0.3">
      <c r="B566" s="28" t="s">
        <v>1377</v>
      </c>
      <c r="C566" s="57" t="s">
        <v>1005</v>
      </c>
      <c r="D566" s="28">
        <v>8</v>
      </c>
      <c r="E566" s="28" t="s">
        <v>396</v>
      </c>
      <c r="F566" s="28"/>
      <c r="G566" s="28">
        <f t="shared" si="31"/>
        <v>0</v>
      </c>
    </row>
    <row r="567" spans="2:7" ht="27.6" outlineLevel="3" x14ac:dyDescent="0.3">
      <c r="B567" s="28" t="s">
        <v>1378</v>
      </c>
      <c r="C567" s="57" t="s">
        <v>1006</v>
      </c>
      <c r="D567" s="28">
        <v>1</v>
      </c>
      <c r="E567" s="28" t="s">
        <v>396</v>
      </c>
      <c r="F567" s="28"/>
      <c r="G567" s="28">
        <f t="shared" si="31"/>
        <v>0</v>
      </c>
    </row>
    <row r="568" spans="2:7" ht="27.6" outlineLevel="3" x14ac:dyDescent="0.3">
      <c r="B568" s="28" t="s">
        <v>1379</v>
      </c>
      <c r="C568" s="57" t="s">
        <v>1008</v>
      </c>
      <c r="D568" s="28">
        <v>1</v>
      </c>
      <c r="E568" s="28" t="s">
        <v>396</v>
      </c>
      <c r="F568" s="28"/>
      <c r="G568" s="28">
        <f t="shared" si="31"/>
        <v>0</v>
      </c>
    </row>
    <row r="569" spans="2:7" outlineLevel="3" x14ac:dyDescent="0.3">
      <c r="B569" s="28" t="s">
        <v>1380</v>
      </c>
      <c r="C569" s="57" t="s">
        <v>1010</v>
      </c>
      <c r="D569" s="28">
        <v>2</v>
      </c>
      <c r="E569" s="28" t="s">
        <v>396</v>
      </c>
      <c r="F569" s="28"/>
      <c r="G569" s="28">
        <f t="shared" si="31"/>
        <v>0</v>
      </c>
    </row>
    <row r="570" spans="2:7" outlineLevel="2" x14ac:dyDescent="0.3">
      <c r="B570" s="21" t="s">
        <v>1381</v>
      </c>
      <c r="C570" s="22" t="s">
        <v>1018</v>
      </c>
      <c r="D570" s="23"/>
      <c r="E570" s="24"/>
      <c r="F570" s="25"/>
      <c r="G570" s="26">
        <f>+SUBTOTAL(9,G571:G611)</f>
        <v>0</v>
      </c>
    </row>
    <row r="571" spans="2:7" ht="27.6" outlineLevel="3" x14ac:dyDescent="0.3">
      <c r="B571" s="28" t="s">
        <v>1382</v>
      </c>
      <c r="C571" s="57" t="s">
        <v>1019</v>
      </c>
      <c r="D571" s="28">
        <v>120</v>
      </c>
      <c r="E571" s="28" t="s">
        <v>396</v>
      </c>
      <c r="F571" s="28"/>
      <c r="G571" s="28">
        <f t="shared" ref="G571:G611" si="32">ROUNDUP(D571*F571,2)</f>
        <v>0</v>
      </c>
    </row>
    <row r="572" spans="2:7" ht="27.6" outlineLevel="3" x14ac:dyDescent="0.3">
      <c r="B572" s="28" t="s">
        <v>1383</v>
      </c>
      <c r="C572" s="57" t="s">
        <v>1020</v>
      </c>
      <c r="D572" s="28">
        <v>21</v>
      </c>
      <c r="E572" s="28" t="s">
        <v>396</v>
      </c>
      <c r="F572" s="28"/>
      <c r="G572" s="28">
        <f t="shared" si="32"/>
        <v>0</v>
      </c>
    </row>
    <row r="573" spans="2:7" ht="27.6" outlineLevel="3" x14ac:dyDescent="0.3">
      <c r="B573" s="28" t="s">
        <v>1384</v>
      </c>
      <c r="C573" s="57" t="s">
        <v>1021</v>
      </c>
      <c r="D573" s="28">
        <v>28</v>
      </c>
      <c r="E573" s="28" t="s">
        <v>396</v>
      </c>
      <c r="F573" s="28"/>
      <c r="G573" s="28">
        <f t="shared" si="32"/>
        <v>0</v>
      </c>
    </row>
    <row r="574" spans="2:7" ht="41.4" outlineLevel="3" x14ac:dyDescent="0.3">
      <c r="B574" s="28" t="s">
        <v>1385</v>
      </c>
      <c r="C574" s="57" t="s">
        <v>1022</v>
      </c>
      <c r="D574" s="28">
        <v>75</v>
      </c>
      <c r="E574" s="28" t="s">
        <v>396</v>
      </c>
      <c r="F574" s="28"/>
      <c r="G574" s="28">
        <f t="shared" si="32"/>
        <v>0</v>
      </c>
    </row>
    <row r="575" spans="2:7" ht="55.2" outlineLevel="3" x14ac:dyDescent="0.3">
      <c r="B575" s="28" t="s">
        <v>1386</v>
      </c>
      <c r="C575" s="57" t="s">
        <v>1023</v>
      </c>
      <c r="D575" s="28">
        <v>40</v>
      </c>
      <c r="E575" s="28" t="s">
        <v>396</v>
      </c>
      <c r="F575" s="28"/>
      <c r="G575" s="28">
        <f t="shared" si="32"/>
        <v>0</v>
      </c>
    </row>
    <row r="576" spans="2:7" ht="27.6" outlineLevel="3" x14ac:dyDescent="0.3">
      <c r="B576" s="28" t="s">
        <v>1387</v>
      </c>
      <c r="C576" s="57" t="s">
        <v>996</v>
      </c>
      <c r="D576" s="28">
        <v>17</v>
      </c>
      <c r="E576" s="28" t="s">
        <v>396</v>
      </c>
      <c r="F576" s="28"/>
      <c r="G576" s="28">
        <f t="shared" si="32"/>
        <v>0</v>
      </c>
    </row>
    <row r="577" spans="2:7" ht="69" outlineLevel="3" x14ac:dyDescent="0.3">
      <c r="B577" s="28" t="s">
        <v>1388</v>
      </c>
      <c r="C577" s="57" t="s">
        <v>1024</v>
      </c>
      <c r="D577" s="28">
        <v>279</v>
      </c>
      <c r="E577" s="28" t="s">
        <v>396</v>
      </c>
      <c r="F577" s="28"/>
      <c r="G577" s="28">
        <f t="shared" si="32"/>
        <v>0</v>
      </c>
    </row>
    <row r="578" spans="2:7" ht="55.2" outlineLevel="3" x14ac:dyDescent="0.3">
      <c r="B578" s="28" t="s">
        <v>1389</v>
      </c>
      <c r="C578" s="57" t="s">
        <v>1025</v>
      </c>
      <c r="D578" s="28">
        <v>88</v>
      </c>
      <c r="E578" s="28" t="s">
        <v>396</v>
      </c>
      <c r="F578" s="28"/>
      <c r="G578" s="28">
        <f t="shared" si="32"/>
        <v>0</v>
      </c>
    </row>
    <row r="579" spans="2:7" ht="41.4" outlineLevel="3" x14ac:dyDescent="0.3">
      <c r="B579" s="28" t="s">
        <v>1390</v>
      </c>
      <c r="C579" s="57" t="s">
        <v>997</v>
      </c>
      <c r="D579" s="28">
        <v>390</v>
      </c>
      <c r="E579" s="28" t="s">
        <v>396</v>
      </c>
      <c r="F579" s="28"/>
      <c r="G579" s="28">
        <f t="shared" si="32"/>
        <v>0</v>
      </c>
    </row>
    <row r="580" spans="2:7" ht="55.2" outlineLevel="3" x14ac:dyDescent="0.3">
      <c r="B580" s="28" t="s">
        <v>1391</v>
      </c>
      <c r="C580" s="57" t="s">
        <v>1026</v>
      </c>
      <c r="D580" s="28">
        <v>12</v>
      </c>
      <c r="E580" s="28" t="s">
        <v>396</v>
      </c>
      <c r="F580" s="28"/>
      <c r="G580" s="28">
        <f t="shared" si="32"/>
        <v>0</v>
      </c>
    </row>
    <row r="581" spans="2:7" ht="41.4" outlineLevel="3" x14ac:dyDescent="0.3">
      <c r="B581" s="28" t="s">
        <v>1392</v>
      </c>
      <c r="C581" s="57" t="s">
        <v>1027</v>
      </c>
      <c r="D581" s="28">
        <v>45</v>
      </c>
      <c r="E581" s="28" t="s">
        <v>396</v>
      </c>
      <c r="F581" s="28"/>
      <c r="G581" s="28">
        <f t="shared" si="32"/>
        <v>0</v>
      </c>
    </row>
    <row r="582" spans="2:7" ht="55.2" outlineLevel="3" x14ac:dyDescent="0.3">
      <c r="B582" s="28" t="s">
        <v>1393</v>
      </c>
      <c r="C582" s="57" t="s">
        <v>1028</v>
      </c>
      <c r="D582" s="28">
        <v>4</v>
      </c>
      <c r="E582" s="28" t="s">
        <v>396</v>
      </c>
      <c r="F582" s="28"/>
      <c r="G582" s="28">
        <f t="shared" si="32"/>
        <v>0</v>
      </c>
    </row>
    <row r="583" spans="2:7" ht="27.6" outlineLevel="3" x14ac:dyDescent="0.3">
      <c r="B583" s="28" t="s">
        <v>1394</v>
      </c>
      <c r="C583" s="57" t="s">
        <v>1029</v>
      </c>
      <c r="D583" s="28">
        <v>21</v>
      </c>
      <c r="E583" s="28" t="s">
        <v>396</v>
      </c>
      <c r="F583" s="28"/>
      <c r="G583" s="28">
        <f t="shared" si="32"/>
        <v>0</v>
      </c>
    </row>
    <row r="584" spans="2:7" ht="41.4" outlineLevel="3" x14ac:dyDescent="0.3">
      <c r="B584" s="28" t="s">
        <v>1395</v>
      </c>
      <c r="C584" s="57" t="s">
        <v>1030</v>
      </c>
      <c r="D584" s="28">
        <v>28</v>
      </c>
      <c r="E584" s="28" t="s">
        <v>396</v>
      </c>
      <c r="F584" s="28"/>
      <c r="G584" s="28">
        <f t="shared" si="32"/>
        <v>0</v>
      </c>
    </row>
    <row r="585" spans="2:7" ht="55.2" outlineLevel="3" x14ac:dyDescent="0.3">
      <c r="B585" s="28" t="s">
        <v>1396</v>
      </c>
      <c r="C585" s="57" t="s">
        <v>1031</v>
      </c>
      <c r="D585" s="28">
        <v>12</v>
      </c>
      <c r="E585" s="28" t="s">
        <v>396</v>
      </c>
      <c r="F585" s="28"/>
      <c r="G585" s="28">
        <f t="shared" si="32"/>
        <v>0</v>
      </c>
    </row>
    <row r="586" spans="2:7" ht="27.6" outlineLevel="3" x14ac:dyDescent="0.3">
      <c r="B586" s="28" t="s">
        <v>1397</v>
      </c>
      <c r="C586" s="57" t="s">
        <v>1007</v>
      </c>
      <c r="D586" s="28">
        <v>1</v>
      </c>
      <c r="E586" s="28" t="s">
        <v>396</v>
      </c>
      <c r="F586" s="28"/>
      <c r="G586" s="28">
        <f t="shared" si="32"/>
        <v>0</v>
      </c>
    </row>
    <row r="587" spans="2:7" ht="27.6" outlineLevel="3" x14ac:dyDescent="0.3">
      <c r="B587" s="28" t="s">
        <v>1398</v>
      </c>
      <c r="C587" s="57" t="s">
        <v>1008</v>
      </c>
      <c r="D587" s="28">
        <v>10</v>
      </c>
      <c r="E587" s="28" t="s">
        <v>396</v>
      </c>
      <c r="F587" s="28"/>
      <c r="G587" s="28">
        <f t="shared" si="32"/>
        <v>0</v>
      </c>
    </row>
    <row r="588" spans="2:7" ht="27.6" outlineLevel="3" x14ac:dyDescent="0.3">
      <c r="B588" s="28" t="s">
        <v>1399</v>
      </c>
      <c r="C588" s="57" t="s">
        <v>1006</v>
      </c>
      <c r="D588" s="28">
        <v>19</v>
      </c>
      <c r="E588" s="28" t="s">
        <v>396</v>
      </c>
      <c r="F588" s="28"/>
      <c r="G588" s="28">
        <f t="shared" si="32"/>
        <v>0</v>
      </c>
    </row>
    <row r="589" spans="2:7" ht="27.6" outlineLevel="3" x14ac:dyDescent="0.3">
      <c r="B589" s="28" t="s">
        <v>1400</v>
      </c>
      <c r="C589" s="57" t="s">
        <v>1032</v>
      </c>
      <c r="D589" s="28">
        <v>5</v>
      </c>
      <c r="E589" s="28" t="s">
        <v>396</v>
      </c>
      <c r="F589" s="28"/>
      <c r="G589" s="28">
        <f t="shared" si="32"/>
        <v>0</v>
      </c>
    </row>
    <row r="590" spans="2:7" outlineLevel="3" x14ac:dyDescent="0.3">
      <c r="B590" s="28" t="s">
        <v>1401</v>
      </c>
      <c r="C590" s="57" t="s">
        <v>1033</v>
      </c>
      <c r="D590" s="28">
        <v>12</v>
      </c>
      <c r="E590" s="28" t="s">
        <v>396</v>
      </c>
      <c r="F590" s="28"/>
      <c r="G590" s="28">
        <f t="shared" si="32"/>
        <v>0</v>
      </c>
    </row>
    <row r="591" spans="2:7" outlineLevel="3" x14ac:dyDescent="0.3">
      <c r="B591" s="28" t="s">
        <v>1402</v>
      </c>
      <c r="C591" s="57" t="s">
        <v>1034</v>
      </c>
      <c r="D591" s="28">
        <v>9</v>
      </c>
      <c r="E591" s="28" t="s">
        <v>396</v>
      </c>
      <c r="F591" s="28"/>
      <c r="G591" s="28">
        <f t="shared" si="32"/>
        <v>0</v>
      </c>
    </row>
    <row r="592" spans="2:7" outlineLevel="3" x14ac:dyDescent="0.3">
      <c r="B592" s="28" t="s">
        <v>1403</v>
      </c>
      <c r="C592" s="57" t="s">
        <v>1035</v>
      </c>
      <c r="D592" s="28">
        <v>12</v>
      </c>
      <c r="E592" s="28" t="s">
        <v>396</v>
      </c>
      <c r="F592" s="28"/>
      <c r="G592" s="28">
        <f t="shared" si="32"/>
        <v>0</v>
      </c>
    </row>
    <row r="593" spans="2:7" outlineLevel="3" x14ac:dyDescent="0.3">
      <c r="B593" s="28" t="s">
        <v>1404</v>
      </c>
      <c r="C593" s="57" t="s">
        <v>1036</v>
      </c>
      <c r="D593" s="28">
        <v>7</v>
      </c>
      <c r="E593" s="28" t="s">
        <v>396</v>
      </c>
      <c r="F593" s="28"/>
      <c r="G593" s="28">
        <f t="shared" si="32"/>
        <v>0</v>
      </c>
    </row>
    <row r="594" spans="2:7" outlineLevel="3" x14ac:dyDescent="0.3">
      <c r="B594" s="28" t="s">
        <v>1405</v>
      </c>
      <c r="C594" s="57" t="s">
        <v>1011</v>
      </c>
      <c r="D594" s="28">
        <v>10</v>
      </c>
      <c r="E594" s="28" t="s">
        <v>396</v>
      </c>
      <c r="F594" s="28"/>
      <c r="G594" s="28">
        <f t="shared" si="32"/>
        <v>0</v>
      </c>
    </row>
    <row r="595" spans="2:7" outlineLevel="3" x14ac:dyDescent="0.3">
      <c r="B595" s="28" t="s">
        <v>1406</v>
      </c>
      <c r="C595" s="57" t="s">
        <v>1037</v>
      </c>
      <c r="D595" s="28">
        <v>1</v>
      </c>
      <c r="E595" s="28" t="s">
        <v>396</v>
      </c>
      <c r="F595" s="28"/>
      <c r="G595" s="28">
        <f t="shared" si="32"/>
        <v>0</v>
      </c>
    </row>
    <row r="596" spans="2:7" outlineLevel="3" x14ac:dyDescent="0.3">
      <c r="B596" s="28" t="s">
        <v>1407</v>
      </c>
      <c r="C596" s="57" t="s">
        <v>1038</v>
      </c>
      <c r="D596" s="28">
        <v>6</v>
      </c>
      <c r="E596" s="28" t="s">
        <v>396</v>
      </c>
      <c r="F596" s="28"/>
      <c r="G596" s="28">
        <f t="shared" si="32"/>
        <v>0</v>
      </c>
    </row>
    <row r="597" spans="2:7" outlineLevel="3" x14ac:dyDescent="0.3">
      <c r="B597" s="28" t="s">
        <v>1408</v>
      </c>
      <c r="C597" s="57" t="s">
        <v>1037</v>
      </c>
      <c r="D597" s="28">
        <v>1</v>
      </c>
      <c r="E597" s="28" t="s">
        <v>396</v>
      </c>
      <c r="F597" s="28"/>
      <c r="G597" s="28">
        <f t="shared" si="32"/>
        <v>0</v>
      </c>
    </row>
    <row r="598" spans="2:7" outlineLevel="3" x14ac:dyDescent="0.3">
      <c r="B598" s="28" t="s">
        <v>1409</v>
      </c>
      <c r="C598" s="57" t="s">
        <v>1039</v>
      </c>
      <c r="D598" s="28">
        <v>2</v>
      </c>
      <c r="E598" s="28" t="s">
        <v>396</v>
      </c>
      <c r="F598" s="28"/>
      <c r="G598" s="28">
        <f t="shared" si="32"/>
        <v>0</v>
      </c>
    </row>
    <row r="599" spans="2:7" outlineLevel="3" x14ac:dyDescent="0.3">
      <c r="B599" s="28" t="s">
        <v>1410</v>
      </c>
      <c r="C599" s="57" t="s">
        <v>1040</v>
      </c>
      <c r="D599" s="28">
        <v>3</v>
      </c>
      <c r="E599" s="28" t="s">
        <v>396</v>
      </c>
      <c r="F599" s="28"/>
      <c r="G599" s="28">
        <f t="shared" si="32"/>
        <v>0</v>
      </c>
    </row>
    <row r="600" spans="2:7" outlineLevel="3" x14ac:dyDescent="0.3">
      <c r="B600" s="28" t="s">
        <v>1411</v>
      </c>
      <c r="C600" s="57" t="s">
        <v>1041</v>
      </c>
      <c r="D600" s="28">
        <v>4</v>
      </c>
      <c r="E600" s="28" t="s">
        <v>396</v>
      </c>
      <c r="F600" s="28"/>
      <c r="G600" s="28">
        <f t="shared" si="32"/>
        <v>0</v>
      </c>
    </row>
    <row r="601" spans="2:7" ht="27.6" outlineLevel="3" x14ac:dyDescent="0.3">
      <c r="B601" s="28" t="s">
        <v>1412</v>
      </c>
      <c r="C601" s="57" t="s">
        <v>1002</v>
      </c>
      <c r="D601" s="28">
        <v>366</v>
      </c>
      <c r="E601" s="28" t="s">
        <v>396</v>
      </c>
      <c r="F601" s="28"/>
      <c r="G601" s="28">
        <f t="shared" si="32"/>
        <v>0</v>
      </c>
    </row>
    <row r="602" spans="2:7" ht="27.6" outlineLevel="3" x14ac:dyDescent="0.3">
      <c r="B602" s="28" t="s">
        <v>1413</v>
      </c>
      <c r="C602" s="57" t="s">
        <v>1003</v>
      </c>
      <c r="D602" s="28">
        <v>341</v>
      </c>
      <c r="E602" s="28" t="s">
        <v>396</v>
      </c>
      <c r="F602" s="28"/>
      <c r="G602" s="28">
        <f t="shared" si="32"/>
        <v>0</v>
      </c>
    </row>
    <row r="603" spans="2:7" ht="27.6" outlineLevel="3" x14ac:dyDescent="0.3">
      <c r="B603" s="28" t="s">
        <v>1414</v>
      </c>
      <c r="C603" s="57" t="s">
        <v>1004</v>
      </c>
      <c r="D603" s="28">
        <v>32</v>
      </c>
      <c r="E603" s="28" t="s">
        <v>396</v>
      </c>
      <c r="F603" s="28"/>
      <c r="G603" s="28">
        <f t="shared" si="32"/>
        <v>0</v>
      </c>
    </row>
    <row r="604" spans="2:7" outlineLevel="3" x14ac:dyDescent="0.3">
      <c r="B604" s="28" t="s">
        <v>1415</v>
      </c>
      <c r="C604" s="57" t="s">
        <v>1001</v>
      </c>
      <c r="D604" s="28">
        <v>359</v>
      </c>
      <c r="E604" s="28" t="s">
        <v>396</v>
      </c>
      <c r="F604" s="28"/>
      <c r="G604" s="28">
        <f t="shared" si="32"/>
        <v>0</v>
      </c>
    </row>
    <row r="605" spans="2:7" ht="41.4" outlineLevel="3" x14ac:dyDescent="0.3">
      <c r="B605" s="28" t="s">
        <v>1416</v>
      </c>
      <c r="C605" s="57" t="s">
        <v>1042</v>
      </c>
      <c r="D605" s="28">
        <v>78</v>
      </c>
      <c r="E605" s="28" t="s">
        <v>396</v>
      </c>
      <c r="F605" s="28"/>
      <c r="G605" s="28">
        <f t="shared" si="32"/>
        <v>0</v>
      </c>
    </row>
    <row r="606" spans="2:7" ht="41.4" outlineLevel="3" x14ac:dyDescent="0.3">
      <c r="B606" s="28" t="s">
        <v>1417</v>
      </c>
      <c r="C606" s="57" t="s">
        <v>1043</v>
      </c>
      <c r="D606" s="28">
        <v>98</v>
      </c>
      <c r="E606" s="28" t="s">
        <v>396</v>
      </c>
      <c r="F606" s="28"/>
      <c r="G606" s="28">
        <f t="shared" si="32"/>
        <v>0</v>
      </c>
    </row>
    <row r="607" spans="2:7" ht="27.6" outlineLevel="3" x14ac:dyDescent="0.3">
      <c r="B607" s="28" t="s">
        <v>1418</v>
      </c>
      <c r="C607" s="57" t="s">
        <v>1044</v>
      </c>
      <c r="D607" s="28">
        <v>17</v>
      </c>
      <c r="E607" s="28" t="s">
        <v>396</v>
      </c>
      <c r="F607" s="28"/>
      <c r="G607" s="28">
        <f t="shared" si="32"/>
        <v>0</v>
      </c>
    </row>
    <row r="608" spans="2:7" ht="27.6" outlineLevel="3" x14ac:dyDescent="0.3">
      <c r="B608" s="28" t="s">
        <v>1419</v>
      </c>
      <c r="C608" s="57" t="s">
        <v>1045</v>
      </c>
      <c r="D608" s="28">
        <v>5</v>
      </c>
      <c r="E608" s="28" t="s">
        <v>396</v>
      </c>
      <c r="F608" s="28"/>
      <c r="G608" s="28">
        <f t="shared" si="32"/>
        <v>0</v>
      </c>
    </row>
    <row r="609" spans="2:7" ht="27.6" outlineLevel="3" x14ac:dyDescent="0.3">
      <c r="B609" s="28" t="s">
        <v>1420</v>
      </c>
      <c r="C609" s="57" t="s">
        <v>1046</v>
      </c>
      <c r="D609" s="28">
        <v>231</v>
      </c>
      <c r="E609" s="28" t="s">
        <v>396</v>
      </c>
      <c r="F609" s="28"/>
      <c r="G609" s="28">
        <f t="shared" si="32"/>
        <v>0</v>
      </c>
    </row>
    <row r="610" spans="2:7" ht="27.6" outlineLevel="3" x14ac:dyDescent="0.3">
      <c r="B610" s="28" t="s">
        <v>1421</v>
      </c>
      <c r="C610" s="57" t="s">
        <v>1047</v>
      </c>
      <c r="D610" s="28">
        <v>21</v>
      </c>
      <c r="E610" s="28" t="s">
        <v>396</v>
      </c>
      <c r="F610" s="28"/>
      <c r="G610" s="28">
        <f t="shared" si="32"/>
        <v>0</v>
      </c>
    </row>
    <row r="611" spans="2:7" ht="27.6" outlineLevel="3" x14ac:dyDescent="0.3">
      <c r="B611" s="28" t="s">
        <v>1422</v>
      </c>
      <c r="C611" s="57" t="s">
        <v>1048</v>
      </c>
      <c r="D611" s="28">
        <v>3</v>
      </c>
      <c r="E611" s="28" t="s">
        <v>396</v>
      </c>
      <c r="F611" s="28"/>
      <c r="G611" s="28">
        <f t="shared" si="32"/>
        <v>0</v>
      </c>
    </row>
    <row r="612" spans="2:7" outlineLevel="2" x14ac:dyDescent="0.3">
      <c r="B612" s="21" t="s">
        <v>1423</v>
      </c>
      <c r="C612" s="22" t="s">
        <v>1057</v>
      </c>
      <c r="D612" s="23"/>
      <c r="E612" s="24"/>
      <c r="F612" s="25"/>
      <c r="G612" s="26">
        <f>+SUBTOTAL(9,G613:G630)</f>
        <v>0</v>
      </c>
    </row>
    <row r="613" spans="2:7" ht="27.6" outlineLevel="3" x14ac:dyDescent="0.3">
      <c r="B613" s="28" t="s">
        <v>1424</v>
      </c>
      <c r="C613" s="57" t="s">
        <v>993</v>
      </c>
      <c r="D613" s="28">
        <v>73</v>
      </c>
      <c r="E613" s="28" t="s">
        <v>396</v>
      </c>
      <c r="F613" s="28"/>
      <c r="G613" s="28">
        <f t="shared" ref="G613:G630" si="33">ROUNDUP(D613*F613,2)</f>
        <v>0</v>
      </c>
    </row>
    <row r="614" spans="2:7" ht="55.2" outlineLevel="3" x14ac:dyDescent="0.3">
      <c r="B614" s="28" t="s">
        <v>1425</v>
      </c>
      <c r="C614" s="57" t="s">
        <v>1049</v>
      </c>
      <c r="D614" s="28">
        <v>62</v>
      </c>
      <c r="E614" s="28" t="s">
        <v>396</v>
      </c>
      <c r="F614" s="28"/>
      <c r="G614" s="28">
        <f t="shared" si="33"/>
        <v>0</v>
      </c>
    </row>
    <row r="615" spans="2:7" ht="69" outlineLevel="3" x14ac:dyDescent="0.3">
      <c r="B615" s="28" t="s">
        <v>1426</v>
      </c>
      <c r="C615" s="57" t="s">
        <v>1050</v>
      </c>
      <c r="D615" s="28">
        <v>8</v>
      </c>
      <c r="E615" s="28" t="s">
        <v>396</v>
      </c>
      <c r="F615" s="28"/>
      <c r="G615" s="28">
        <f t="shared" si="33"/>
        <v>0</v>
      </c>
    </row>
    <row r="616" spans="2:7" ht="27.6" outlineLevel="3" x14ac:dyDescent="0.3">
      <c r="B616" s="28" t="s">
        <v>1427</v>
      </c>
      <c r="C616" s="57" t="s">
        <v>996</v>
      </c>
      <c r="D616" s="28">
        <v>3</v>
      </c>
      <c r="E616" s="28" t="s">
        <v>396</v>
      </c>
      <c r="F616" s="28"/>
      <c r="G616" s="28">
        <f t="shared" si="33"/>
        <v>0</v>
      </c>
    </row>
    <row r="617" spans="2:7" ht="69" outlineLevel="3" x14ac:dyDescent="0.3">
      <c r="B617" s="28" t="s">
        <v>1428</v>
      </c>
      <c r="C617" s="57" t="s">
        <v>1051</v>
      </c>
      <c r="D617" s="28">
        <v>57</v>
      </c>
      <c r="E617" s="28" t="s">
        <v>396</v>
      </c>
      <c r="F617" s="28"/>
      <c r="G617" s="28">
        <f t="shared" si="33"/>
        <v>0</v>
      </c>
    </row>
    <row r="618" spans="2:7" ht="55.2" outlineLevel="3" x14ac:dyDescent="0.3">
      <c r="B618" s="28" t="s">
        <v>1429</v>
      </c>
      <c r="C618" s="57" t="s">
        <v>1025</v>
      </c>
      <c r="D618" s="28">
        <v>20</v>
      </c>
      <c r="E618" s="28" t="s">
        <v>396</v>
      </c>
      <c r="F618" s="28"/>
      <c r="G618" s="28">
        <f t="shared" si="33"/>
        <v>0</v>
      </c>
    </row>
    <row r="619" spans="2:7" ht="41.4" outlineLevel="3" x14ac:dyDescent="0.3">
      <c r="B619" s="28" t="s">
        <v>1430</v>
      </c>
      <c r="C619" s="57" t="s">
        <v>997</v>
      </c>
      <c r="D619" s="28">
        <v>42</v>
      </c>
      <c r="E619" s="28" t="s">
        <v>396</v>
      </c>
      <c r="F619" s="28"/>
      <c r="G619" s="28">
        <f t="shared" si="33"/>
        <v>0</v>
      </c>
    </row>
    <row r="620" spans="2:7" ht="55.2" outlineLevel="3" x14ac:dyDescent="0.3">
      <c r="B620" s="28" t="s">
        <v>1431</v>
      </c>
      <c r="C620" s="57" t="s">
        <v>1052</v>
      </c>
      <c r="D620" s="28">
        <v>11</v>
      </c>
      <c r="E620" s="28" t="s">
        <v>396</v>
      </c>
      <c r="F620" s="28"/>
      <c r="G620" s="28">
        <f t="shared" si="33"/>
        <v>0</v>
      </c>
    </row>
    <row r="621" spans="2:7" ht="55.2" outlineLevel="3" x14ac:dyDescent="0.3">
      <c r="B621" s="28" t="s">
        <v>1432</v>
      </c>
      <c r="C621" s="57" t="s">
        <v>1053</v>
      </c>
      <c r="D621" s="28">
        <v>1</v>
      </c>
      <c r="E621" s="28" t="s">
        <v>396</v>
      </c>
      <c r="F621" s="28"/>
      <c r="G621" s="28">
        <f t="shared" si="33"/>
        <v>0</v>
      </c>
    </row>
    <row r="622" spans="2:7" ht="27.6" outlineLevel="3" x14ac:dyDescent="0.3">
      <c r="B622" s="28" t="s">
        <v>1433</v>
      </c>
      <c r="C622" s="57" t="s">
        <v>1002</v>
      </c>
      <c r="D622" s="28">
        <v>60</v>
      </c>
      <c r="E622" s="28" t="s">
        <v>396</v>
      </c>
      <c r="F622" s="28"/>
      <c r="G622" s="28">
        <f t="shared" si="33"/>
        <v>0</v>
      </c>
    </row>
    <row r="623" spans="2:7" ht="27.6" outlineLevel="3" x14ac:dyDescent="0.3">
      <c r="B623" s="28" t="s">
        <v>1434</v>
      </c>
      <c r="C623" s="57" t="s">
        <v>1003</v>
      </c>
      <c r="D623" s="28">
        <v>48</v>
      </c>
      <c r="E623" s="28" t="s">
        <v>396</v>
      </c>
      <c r="F623" s="28"/>
      <c r="G623" s="28">
        <f t="shared" si="33"/>
        <v>0</v>
      </c>
    </row>
    <row r="624" spans="2:7" ht="27.6" outlineLevel="3" x14ac:dyDescent="0.3">
      <c r="B624" s="28" t="s">
        <v>1435</v>
      </c>
      <c r="C624" s="57" t="s">
        <v>1004</v>
      </c>
      <c r="D624" s="28">
        <v>8</v>
      </c>
      <c r="E624" s="28" t="s">
        <v>396</v>
      </c>
      <c r="F624" s="28"/>
      <c r="G624" s="28">
        <f t="shared" si="33"/>
        <v>0</v>
      </c>
    </row>
    <row r="625" spans="2:7" outlineLevel="3" x14ac:dyDescent="0.3">
      <c r="B625" s="28" t="s">
        <v>1436</v>
      </c>
      <c r="C625" s="57" t="s">
        <v>1001</v>
      </c>
      <c r="D625" s="28">
        <v>63</v>
      </c>
      <c r="E625" s="28" t="s">
        <v>396</v>
      </c>
      <c r="F625" s="28"/>
      <c r="G625" s="28">
        <f t="shared" si="33"/>
        <v>0</v>
      </c>
    </row>
    <row r="626" spans="2:7" outlineLevel="3" x14ac:dyDescent="0.3">
      <c r="B626" s="28" t="s">
        <v>1437</v>
      </c>
      <c r="C626" s="57" t="s">
        <v>1054</v>
      </c>
      <c r="D626" s="28">
        <v>2</v>
      </c>
      <c r="E626" s="28" t="s">
        <v>396</v>
      </c>
      <c r="F626" s="28"/>
      <c r="G626" s="28">
        <f t="shared" si="33"/>
        <v>0</v>
      </c>
    </row>
    <row r="627" spans="2:7" outlineLevel="3" x14ac:dyDescent="0.3">
      <c r="B627" s="28" t="s">
        <v>1438</v>
      </c>
      <c r="C627" s="57" t="s">
        <v>1055</v>
      </c>
      <c r="D627" s="28">
        <v>5</v>
      </c>
      <c r="E627" s="28" t="s">
        <v>396</v>
      </c>
      <c r="F627" s="28"/>
      <c r="G627" s="28">
        <f t="shared" si="33"/>
        <v>0</v>
      </c>
    </row>
    <row r="628" spans="2:7" outlineLevel="3" x14ac:dyDescent="0.3">
      <c r="B628" s="28" t="s">
        <v>1439</v>
      </c>
      <c r="C628" s="57" t="s">
        <v>1056</v>
      </c>
      <c r="D628" s="28">
        <v>2</v>
      </c>
      <c r="E628" s="28" t="s">
        <v>396</v>
      </c>
      <c r="F628" s="28"/>
      <c r="G628" s="28">
        <f t="shared" si="33"/>
        <v>0</v>
      </c>
    </row>
    <row r="629" spans="2:7" outlineLevel="3" x14ac:dyDescent="0.3">
      <c r="B629" s="28" t="s">
        <v>1440</v>
      </c>
      <c r="C629" s="57" t="s">
        <v>1038</v>
      </c>
      <c r="D629" s="28">
        <v>2</v>
      </c>
      <c r="E629" s="28" t="s">
        <v>396</v>
      </c>
      <c r="F629" s="28"/>
      <c r="G629" s="28">
        <f t="shared" si="33"/>
        <v>0</v>
      </c>
    </row>
    <row r="630" spans="2:7" outlineLevel="3" x14ac:dyDescent="0.3">
      <c r="B630" s="28" t="s">
        <v>1441</v>
      </c>
      <c r="C630" s="57" t="s">
        <v>1011</v>
      </c>
      <c r="D630" s="28">
        <v>2</v>
      </c>
      <c r="E630" s="28" t="s">
        <v>396</v>
      </c>
      <c r="F630" s="28"/>
      <c r="G630" s="28">
        <f t="shared" si="33"/>
        <v>0</v>
      </c>
    </row>
    <row r="631" spans="2:7" outlineLevel="2" x14ac:dyDescent="0.3">
      <c r="B631" s="21" t="s">
        <v>1442</v>
      </c>
      <c r="C631" s="22" t="s">
        <v>1063</v>
      </c>
      <c r="D631" s="23"/>
      <c r="E631" s="24"/>
      <c r="F631" s="25"/>
      <c r="G631" s="26">
        <f>+SUBTOTAL(9,G632:G646)</f>
        <v>0</v>
      </c>
    </row>
    <row r="632" spans="2:7" ht="27.6" outlineLevel="3" x14ac:dyDescent="0.3">
      <c r="B632" s="28" t="s">
        <v>1443</v>
      </c>
      <c r="C632" s="57" t="s">
        <v>992</v>
      </c>
      <c r="D632" s="28">
        <v>10</v>
      </c>
      <c r="E632" s="28" t="s">
        <v>396</v>
      </c>
      <c r="F632" s="28"/>
      <c r="G632" s="28">
        <f t="shared" ref="G632:G646" si="34">ROUNDUP(D632*F632,2)</f>
        <v>0</v>
      </c>
    </row>
    <row r="633" spans="2:7" ht="27.6" outlineLevel="3" x14ac:dyDescent="0.3">
      <c r="B633" s="28" t="s">
        <v>1444</v>
      </c>
      <c r="C633" s="57" t="s">
        <v>993</v>
      </c>
      <c r="D633" s="28">
        <v>20</v>
      </c>
      <c r="E633" s="28" t="s">
        <v>396</v>
      </c>
      <c r="F633" s="28"/>
      <c r="G633" s="28">
        <f t="shared" si="34"/>
        <v>0</v>
      </c>
    </row>
    <row r="634" spans="2:7" ht="27.6" outlineLevel="3" x14ac:dyDescent="0.3">
      <c r="B634" s="28" t="s">
        <v>1445</v>
      </c>
      <c r="C634" s="57" t="s">
        <v>1021</v>
      </c>
      <c r="D634" s="28">
        <v>57</v>
      </c>
      <c r="E634" s="28" t="s">
        <v>396</v>
      </c>
      <c r="F634" s="28"/>
      <c r="G634" s="28">
        <f t="shared" si="34"/>
        <v>0</v>
      </c>
    </row>
    <row r="635" spans="2:7" ht="27.6" outlineLevel="3" x14ac:dyDescent="0.3">
      <c r="B635" s="28" t="s">
        <v>1446</v>
      </c>
      <c r="C635" s="57" t="s">
        <v>993</v>
      </c>
      <c r="D635" s="28">
        <v>21</v>
      </c>
      <c r="E635" s="28" t="s">
        <v>396</v>
      </c>
      <c r="F635" s="28"/>
      <c r="G635" s="28">
        <f t="shared" si="34"/>
        <v>0</v>
      </c>
    </row>
    <row r="636" spans="2:7" ht="55.2" outlineLevel="3" x14ac:dyDescent="0.3">
      <c r="B636" s="28" t="s">
        <v>1447</v>
      </c>
      <c r="C636" s="57" t="s">
        <v>1058</v>
      </c>
      <c r="D636" s="28">
        <v>10</v>
      </c>
      <c r="E636" s="28" t="s">
        <v>396</v>
      </c>
      <c r="F636" s="28"/>
      <c r="G636" s="28">
        <f t="shared" si="34"/>
        <v>0</v>
      </c>
    </row>
    <row r="637" spans="2:7" ht="69" outlineLevel="3" x14ac:dyDescent="0.3">
      <c r="B637" s="28" t="s">
        <v>1448</v>
      </c>
      <c r="C637" s="57" t="s">
        <v>1059</v>
      </c>
      <c r="D637" s="28">
        <v>6</v>
      </c>
      <c r="E637" s="28" t="s">
        <v>396</v>
      </c>
      <c r="F637" s="28"/>
      <c r="G637" s="28">
        <f t="shared" si="34"/>
        <v>0</v>
      </c>
    </row>
    <row r="638" spans="2:7" ht="27.6" outlineLevel="3" x14ac:dyDescent="0.3">
      <c r="B638" s="28" t="s">
        <v>1449</v>
      </c>
      <c r="C638" s="57" t="s">
        <v>996</v>
      </c>
      <c r="D638" s="28">
        <v>11</v>
      </c>
      <c r="E638" s="28" t="s">
        <v>396</v>
      </c>
      <c r="F638" s="28"/>
      <c r="G638" s="28">
        <f t="shared" si="34"/>
        <v>0</v>
      </c>
    </row>
    <row r="639" spans="2:7" ht="41.4" outlineLevel="3" x14ac:dyDescent="0.3">
      <c r="B639" s="28" t="s">
        <v>1450</v>
      </c>
      <c r="C639" s="57" t="s">
        <v>1060</v>
      </c>
      <c r="D639" s="28">
        <v>11</v>
      </c>
      <c r="E639" s="28" t="s">
        <v>396</v>
      </c>
      <c r="F639" s="28"/>
      <c r="G639" s="28">
        <f t="shared" si="34"/>
        <v>0</v>
      </c>
    </row>
    <row r="640" spans="2:7" ht="55.2" outlineLevel="3" x14ac:dyDescent="0.3">
      <c r="B640" s="28" t="s">
        <v>1451</v>
      </c>
      <c r="C640" s="57" t="s">
        <v>1061</v>
      </c>
      <c r="D640" s="28">
        <v>1</v>
      </c>
      <c r="E640" s="28" t="s">
        <v>396</v>
      </c>
      <c r="F640" s="28"/>
      <c r="G640" s="28">
        <f t="shared" si="34"/>
        <v>0</v>
      </c>
    </row>
    <row r="641" spans="2:8" ht="41.4" outlineLevel="3" x14ac:dyDescent="0.3">
      <c r="B641" s="28" t="s">
        <v>1452</v>
      </c>
      <c r="C641" s="57" t="s">
        <v>1062</v>
      </c>
      <c r="D641" s="28">
        <v>21</v>
      </c>
      <c r="E641" s="28" t="s">
        <v>396</v>
      </c>
      <c r="F641" s="28"/>
      <c r="G641" s="28">
        <f t="shared" si="34"/>
        <v>0</v>
      </c>
    </row>
    <row r="642" spans="2:8" ht="41.4" outlineLevel="3" x14ac:dyDescent="0.3">
      <c r="B642" s="28" t="s">
        <v>1453</v>
      </c>
      <c r="C642" s="57" t="s">
        <v>1030</v>
      </c>
      <c r="D642" s="28">
        <v>36</v>
      </c>
      <c r="E642" s="28" t="s">
        <v>396</v>
      </c>
      <c r="F642" s="28"/>
      <c r="G642" s="28">
        <f t="shared" si="34"/>
        <v>0</v>
      </c>
    </row>
    <row r="643" spans="2:8" ht="27.6" outlineLevel="3" x14ac:dyDescent="0.3">
      <c r="B643" s="28" t="s">
        <v>1454</v>
      </c>
      <c r="C643" s="57" t="s">
        <v>1002</v>
      </c>
      <c r="D643" s="28">
        <v>13</v>
      </c>
      <c r="E643" s="28" t="s">
        <v>396</v>
      </c>
      <c r="F643" s="28"/>
      <c r="G643" s="28">
        <f t="shared" si="34"/>
        <v>0</v>
      </c>
    </row>
    <row r="644" spans="2:8" ht="27.6" outlineLevel="3" x14ac:dyDescent="0.3">
      <c r="B644" s="28" t="s">
        <v>1455</v>
      </c>
      <c r="C644" s="57" t="s">
        <v>1004</v>
      </c>
      <c r="D644" s="28">
        <v>5</v>
      </c>
      <c r="E644" s="28" t="s">
        <v>396</v>
      </c>
      <c r="F644" s="28"/>
      <c r="G644" s="28">
        <f t="shared" si="34"/>
        <v>0</v>
      </c>
    </row>
    <row r="645" spans="2:8" ht="27.6" outlineLevel="3" x14ac:dyDescent="0.3">
      <c r="B645" s="28" t="s">
        <v>1456</v>
      </c>
      <c r="C645" s="57" t="s">
        <v>1005</v>
      </c>
      <c r="D645" s="28">
        <v>9</v>
      </c>
      <c r="E645" s="28" t="s">
        <v>396</v>
      </c>
      <c r="F645" s="28"/>
      <c r="G645" s="28">
        <f t="shared" si="34"/>
        <v>0</v>
      </c>
    </row>
    <row r="646" spans="2:8" ht="27.6" outlineLevel="3" x14ac:dyDescent="0.3">
      <c r="B646" s="28" t="s">
        <v>1457</v>
      </c>
      <c r="C646" s="57" t="s">
        <v>1008</v>
      </c>
      <c r="D646" s="28">
        <v>2</v>
      </c>
      <c r="E646" s="28" t="s">
        <v>396</v>
      </c>
      <c r="F646" s="28"/>
      <c r="G646" s="28">
        <f t="shared" si="34"/>
        <v>0</v>
      </c>
    </row>
    <row r="647" spans="2:8" outlineLevel="2" x14ac:dyDescent="0.3">
      <c r="B647" s="21" t="s">
        <v>1458</v>
      </c>
      <c r="C647" s="22" t="s">
        <v>1066</v>
      </c>
      <c r="D647" s="23"/>
      <c r="E647" s="24"/>
      <c r="F647" s="25"/>
      <c r="G647" s="26">
        <f>+SUBTOTAL(9,G648:G653)</f>
        <v>0</v>
      </c>
    </row>
    <row r="648" spans="2:8" outlineLevel="3" x14ac:dyDescent="0.3">
      <c r="B648" s="28" t="s">
        <v>1459</v>
      </c>
      <c r="C648" s="16" t="s">
        <v>1064</v>
      </c>
      <c r="D648" s="28">
        <v>1000</v>
      </c>
      <c r="E648" s="28" t="s">
        <v>581</v>
      </c>
      <c r="F648" s="28"/>
      <c r="G648" s="28">
        <f t="shared" ref="G648:G653" si="35">ROUNDUP(D648*F648,2)</f>
        <v>0</v>
      </c>
      <c r="H648" s="122"/>
    </row>
    <row r="649" spans="2:8" outlineLevel="3" x14ac:dyDescent="0.3">
      <c r="B649" s="28" t="s">
        <v>1460</v>
      </c>
      <c r="C649" s="16" t="s">
        <v>1065</v>
      </c>
      <c r="D649" s="28">
        <v>500</v>
      </c>
      <c r="E649" s="28" t="s">
        <v>581</v>
      </c>
      <c r="F649" s="28"/>
      <c r="G649" s="28">
        <f t="shared" si="35"/>
        <v>0</v>
      </c>
      <c r="H649" s="122"/>
    </row>
    <row r="650" spans="2:8" outlineLevel="3" x14ac:dyDescent="0.3">
      <c r="B650" s="28" t="s">
        <v>1461</v>
      </c>
      <c r="C650" s="16" t="s">
        <v>613</v>
      </c>
      <c r="D650" s="28">
        <v>4</v>
      </c>
      <c r="E650" s="28" t="s">
        <v>581</v>
      </c>
      <c r="F650" s="28"/>
      <c r="G650" s="28">
        <f t="shared" si="35"/>
        <v>0</v>
      </c>
      <c r="H650" s="122"/>
    </row>
    <row r="651" spans="2:8" outlineLevel="3" x14ac:dyDescent="0.3">
      <c r="B651" s="28" t="s">
        <v>1462</v>
      </c>
      <c r="C651" s="16" t="s">
        <v>614</v>
      </c>
      <c r="D651" s="28">
        <v>100</v>
      </c>
      <c r="E651" s="28" t="s">
        <v>2265</v>
      </c>
      <c r="F651" s="28"/>
      <c r="G651" s="28">
        <f t="shared" si="35"/>
        <v>0</v>
      </c>
      <c r="H651" s="122"/>
    </row>
    <row r="652" spans="2:8" ht="27.6" outlineLevel="3" x14ac:dyDescent="0.3">
      <c r="B652" s="28" t="s">
        <v>1463</v>
      </c>
      <c r="C652" s="16" t="s">
        <v>615</v>
      </c>
      <c r="D652" s="28">
        <v>1000</v>
      </c>
      <c r="E652" s="28" t="s">
        <v>2265</v>
      </c>
      <c r="F652" s="28"/>
      <c r="G652" s="28">
        <f t="shared" si="35"/>
        <v>0</v>
      </c>
      <c r="H652" s="122"/>
    </row>
    <row r="653" spans="2:8" ht="27.6" outlineLevel="3" x14ac:dyDescent="0.3">
      <c r="B653" s="28" t="s">
        <v>2266</v>
      </c>
      <c r="C653" s="16" t="s">
        <v>2267</v>
      </c>
      <c r="D653" s="28">
        <v>1</v>
      </c>
      <c r="E653" s="28" t="s">
        <v>581</v>
      </c>
      <c r="F653" s="28"/>
      <c r="G653" s="28">
        <f t="shared" si="35"/>
        <v>0</v>
      </c>
      <c r="H653" s="122"/>
    </row>
    <row r="654" spans="2:8" outlineLevel="3" x14ac:dyDescent="0.3">
      <c r="B654" s="54"/>
      <c r="C654" s="55"/>
      <c r="D654" s="17"/>
      <c r="E654" s="18"/>
      <c r="F654" s="56"/>
      <c r="G654" s="20"/>
    </row>
    <row r="655" spans="2:8" outlineLevel="2" x14ac:dyDescent="0.3">
      <c r="B655" s="54"/>
      <c r="C655" s="55"/>
      <c r="D655" s="17"/>
      <c r="E655" s="18"/>
      <c r="F655" s="56"/>
      <c r="G655" s="20"/>
    </row>
    <row r="656" spans="2:8" outlineLevel="1" x14ac:dyDescent="0.3">
      <c r="B656" s="54">
        <v>2.2000000000000002</v>
      </c>
      <c r="C656" s="55" t="s">
        <v>1101</v>
      </c>
      <c r="D656" s="17"/>
      <c r="E656" s="18"/>
      <c r="F656" s="56"/>
      <c r="G656" s="20">
        <f>SUBTOTAL(9,G657:G956)</f>
        <v>0</v>
      </c>
    </row>
    <row r="657" spans="2:7" outlineLevel="2" x14ac:dyDescent="0.3">
      <c r="B657" s="21" t="s">
        <v>510</v>
      </c>
      <c r="C657" s="22" t="s">
        <v>637</v>
      </c>
      <c r="D657" s="23"/>
      <c r="E657" s="24"/>
      <c r="F657" s="25"/>
      <c r="G657" s="26">
        <f>+SUBTOTAL(9,G658:G950)</f>
        <v>0</v>
      </c>
    </row>
    <row r="658" spans="2:7" outlineLevel="3" x14ac:dyDescent="0.3">
      <c r="B658" s="21" t="s">
        <v>511</v>
      </c>
      <c r="C658" s="22" t="s">
        <v>638</v>
      </c>
      <c r="D658" s="23"/>
      <c r="E658" s="24"/>
      <c r="F658" s="25"/>
      <c r="G658" s="26">
        <f>+SUBTOTAL(9,G659:G688)</f>
        <v>0</v>
      </c>
    </row>
    <row r="659" spans="2:7" outlineLevel="4" x14ac:dyDescent="0.3">
      <c r="B659" s="28" t="s">
        <v>512</v>
      </c>
      <c r="C659" s="28" t="s">
        <v>640</v>
      </c>
      <c r="D659" s="28">
        <v>20</v>
      </c>
      <c r="E659" s="28" t="s">
        <v>3</v>
      </c>
      <c r="F659" s="28"/>
      <c r="G659" s="28">
        <f t="shared" ref="G659:G688" si="36">ROUNDUP(D659*F659,2)</f>
        <v>0</v>
      </c>
    </row>
    <row r="660" spans="2:7" outlineLevel="4" x14ac:dyDescent="0.3">
      <c r="B660" s="28" t="s">
        <v>513</v>
      </c>
      <c r="C660" s="28" t="s">
        <v>641</v>
      </c>
      <c r="D660" s="28">
        <v>28</v>
      </c>
      <c r="E660" s="28" t="s">
        <v>3</v>
      </c>
      <c r="F660" s="28"/>
      <c r="G660" s="28">
        <f t="shared" si="36"/>
        <v>0</v>
      </c>
    </row>
    <row r="661" spans="2:7" outlineLevel="4" x14ac:dyDescent="0.3">
      <c r="B661" s="28" t="s">
        <v>514</v>
      </c>
      <c r="C661" s="28" t="s">
        <v>642</v>
      </c>
      <c r="D661" s="28">
        <f>6*0.5</f>
        <v>3</v>
      </c>
      <c r="E661" s="28" t="s">
        <v>3</v>
      </c>
      <c r="F661" s="28"/>
      <c r="G661" s="28">
        <f t="shared" si="36"/>
        <v>0</v>
      </c>
    </row>
    <row r="662" spans="2:7" outlineLevel="4" x14ac:dyDescent="0.3">
      <c r="B662" s="28" t="s">
        <v>515</v>
      </c>
      <c r="C662" s="28" t="s">
        <v>643</v>
      </c>
      <c r="D662" s="28">
        <v>4</v>
      </c>
      <c r="E662" s="28" t="s">
        <v>3</v>
      </c>
      <c r="F662" s="28"/>
      <c r="G662" s="28">
        <f t="shared" si="36"/>
        <v>0</v>
      </c>
    </row>
    <row r="663" spans="2:7" outlineLevel="4" x14ac:dyDescent="0.3">
      <c r="B663" s="28" t="s">
        <v>516</v>
      </c>
      <c r="C663" s="28" t="s">
        <v>644</v>
      </c>
      <c r="D663" s="28">
        <v>30</v>
      </c>
      <c r="E663" s="28" t="s">
        <v>3</v>
      </c>
      <c r="F663" s="28"/>
      <c r="G663" s="28">
        <f t="shared" si="36"/>
        <v>0</v>
      </c>
    </row>
    <row r="664" spans="2:7" outlineLevel="4" x14ac:dyDescent="0.3">
      <c r="B664" s="28" t="s">
        <v>517</v>
      </c>
      <c r="C664" s="28" t="s">
        <v>645</v>
      </c>
      <c r="D664" s="28">
        <v>4</v>
      </c>
      <c r="E664" s="28" t="s">
        <v>3</v>
      </c>
      <c r="F664" s="28"/>
      <c r="G664" s="28">
        <f t="shared" si="36"/>
        <v>0</v>
      </c>
    </row>
    <row r="665" spans="2:7" outlineLevel="4" x14ac:dyDescent="0.3">
      <c r="B665" s="28" t="s">
        <v>518</v>
      </c>
      <c r="C665" s="28" t="s">
        <v>646</v>
      </c>
      <c r="D665" s="28">
        <v>5</v>
      </c>
      <c r="E665" s="28" t="s">
        <v>3</v>
      </c>
      <c r="F665" s="28"/>
      <c r="G665" s="28">
        <f t="shared" si="36"/>
        <v>0</v>
      </c>
    </row>
    <row r="666" spans="2:7" outlineLevel="4" x14ac:dyDescent="0.3">
      <c r="B666" s="28" t="s">
        <v>519</v>
      </c>
      <c r="C666" s="28" t="s">
        <v>647</v>
      </c>
      <c r="D666" s="28">
        <v>4</v>
      </c>
      <c r="E666" s="28" t="s">
        <v>3</v>
      </c>
      <c r="F666" s="28"/>
      <c r="G666" s="28">
        <f t="shared" si="36"/>
        <v>0</v>
      </c>
    </row>
    <row r="667" spans="2:7" outlineLevel="4" x14ac:dyDescent="0.3">
      <c r="B667" s="28" t="s">
        <v>520</v>
      </c>
      <c r="C667" s="28" t="s">
        <v>648</v>
      </c>
      <c r="D667" s="28">
        <v>1</v>
      </c>
      <c r="E667" s="28" t="s">
        <v>3</v>
      </c>
      <c r="F667" s="28"/>
      <c r="G667" s="28">
        <f t="shared" si="36"/>
        <v>0</v>
      </c>
    </row>
    <row r="668" spans="2:7" outlineLevel="4" x14ac:dyDescent="0.3">
      <c r="B668" s="28" t="s">
        <v>521</v>
      </c>
      <c r="C668" s="28" t="s">
        <v>649</v>
      </c>
      <c r="D668" s="28">
        <v>3</v>
      </c>
      <c r="E668" s="28" t="s">
        <v>3</v>
      </c>
      <c r="F668" s="28"/>
      <c r="G668" s="28">
        <f t="shared" si="36"/>
        <v>0</v>
      </c>
    </row>
    <row r="669" spans="2:7" outlineLevel="4" x14ac:dyDescent="0.3">
      <c r="B669" s="28" t="s">
        <v>522</v>
      </c>
      <c r="C669" s="28" t="s">
        <v>651</v>
      </c>
      <c r="D669" s="28">
        <v>4</v>
      </c>
      <c r="E669" s="28" t="s">
        <v>3</v>
      </c>
      <c r="F669" s="28"/>
      <c r="G669" s="28">
        <f t="shared" si="36"/>
        <v>0</v>
      </c>
    </row>
    <row r="670" spans="2:7" outlineLevel="4" x14ac:dyDescent="0.3">
      <c r="B670" s="28" t="s">
        <v>523</v>
      </c>
      <c r="C670" s="28" t="s">
        <v>652</v>
      </c>
      <c r="D670" s="28">
        <v>4</v>
      </c>
      <c r="E670" s="28" t="s">
        <v>3</v>
      </c>
      <c r="F670" s="28"/>
      <c r="G670" s="28">
        <f t="shared" si="36"/>
        <v>0</v>
      </c>
    </row>
    <row r="671" spans="2:7" outlineLevel="4" x14ac:dyDescent="0.3">
      <c r="B671" s="28" t="s">
        <v>524</v>
      </c>
      <c r="C671" s="28" t="s">
        <v>653</v>
      </c>
      <c r="D671" s="28">
        <v>3</v>
      </c>
      <c r="E671" s="28" t="s">
        <v>3</v>
      </c>
      <c r="F671" s="28"/>
      <c r="G671" s="28">
        <f t="shared" si="36"/>
        <v>0</v>
      </c>
    </row>
    <row r="672" spans="2:7" outlineLevel="4" x14ac:dyDescent="0.3">
      <c r="B672" s="28" t="s">
        <v>525</v>
      </c>
      <c r="C672" s="28" t="s">
        <v>654</v>
      </c>
      <c r="D672" s="28">
        <v>8</v>
      </c>
      <c r="E672" s="28" t="s">
        <v>3</v>
      </c>
      <c r="F672" s="28"/>
      <c r="G672" s="28">
        <f t="shared" si="36"/>
        <v>0</v>
      </c>
    </row>
    <row r="673" spans="2:8" outlineLevel="4" x14ac:dyDescent="0.3">
      <c r="B673" s="28" t="s">
        <v>526</v>
      </c>
      <c r="C673" s="28" t="s">
        <v>655</v>
      </c>
      <c r="D673" s="28">
        <v>4</v>
      </c>
      <c r="E673" s="28" t="s">
        <v>3</v>
      </c>
      <c r="F673" s="28"/>
      <c r="G673" s="28">
        <f t="shared" si="36"/>
        <v>0</v>
      </c>
    </row>
    <row r="674" spans="2:8" outlineLevel="4" x14ac:dyDescent="0.3">
      <c r="B674" s="28" t="s">
        <v>527</v>
      </c>
      <c r="C674" s="28" t="s">
        <v>656</v>
      </c>
      <c r="D674" s="28">
        <v>8</v>
      </c>
      <c r="E674" s="28" t="s">
        <v>3</v>
      </c>
      <c r="F674" s="28"/>
      <c r="G674" s="28">
        <f t="shared" si="36"/>
        <v>0</v>
      </c>
    </row>
    <row r="675" spans="2:8" outlineLevel="4" x14ac:dyDescent="0.3">
      <c r="B675" s="28" t="s">
        <v>1464</v>
      </c>
      <c r="C675" s="28" t="s">
        <v>657</v>
      </c>
      <c r="D675" s="28">
        <v>8</v>
      </c>
      <c r="E675" s="28" t="s">
        <v>3</v>
      </c>
      <c r="F675" s="28"/>
      <c r="G675" s="28">
        <f t="shared" si="36"/>
        <v>0</v>
      </c>
    </row>
    <row r="676" spans="2:8" outlineLevel="4" x14ac:dyDescent="0.3">
      <c r="B676" s="28" t="s">
        <v>1465</v>
      </c>
      <c r="C676" s="28" t="s">
        <v>658</v>
      </c>
      <c r="D676" s="28">
        <v>8</v>
      </c>
      <c r="E676" s="28" t="s">
        <v>3</v>
      </c>
      <c r="F676" s="28"/>
      <c r="G676" s="28">
        <f t="shared" si="36"/>
        <v>0</v>
      </c>
    </row>
    <row r="677" spans="2:8" outlineLevel="4" x14ac:dyDescent="0.3">
      <c r="B677" s="28" t="s">
        <v>1466</v>
      </c>
      <c r="C677" s="28" t="s">
        <v>660</v>
      </c>
      <c r="D677" s="28">
        <v>20</v>
      </c>
      <c r="E677" s="28" t="s">
        <v>3</v>
      </c>
      <c r="F677" s="28"/>
      <c r="G677" s="28">
        <f t="shared" si="36"/>
        <v>0</v>
      </c>
    </row>
    <row r="678" spans="2:8" outlineLevel="4" x14ac:dyDescent="0.3">
      <c r="B678" s="28" t="s">
        <v>1467</v>
      </c>
      <c r="C678" s="28" t="s">
        <v>662</v>
      </c>
      <c r="D678" s="28">
        <v>5</v>
      </c>
      <c r="E678" s="28" t="s">
        <v>3</v>
      </c>
      <c r="F678" s="28"/>
      <c r="G678" s="28">
        <f t="shared" si="36"/>
        <v>0</v>
      </c>
    </row>
    <row r="679" spans="2:8" outlineLevel="4" x14ac:dyDescent="0.3">
      <c r="B679" s="28" t="s">
        <v>1468</v>
      </c>
      <c r="C679" s="28" t="s">
        <v>663</v>
      </c>
      <c r="D679" s="28">
        <v>14</v>
      </c>
      <c r="E679" s="28" t="s">
        <v>3</v>
      </c>
      <c r="F679" s="28"/>
      <c r="G679" s="28">
        <f t="shared" si="36"/>
        <v>0</v>
      </c>
    </row>
    <row r="680" spans="2:8" outlineLevel="4" x14ac:dyDescent="0.3">
      <c r="B680" s="28" t="s">
        <v>1469</v>
      </c>
      <c r="C680" s="28" t="s">
        <v>664</v>
      </c>
      <c r="D680" s="28">
        <f>6*0.5</f>
        <v>3</v>
      </c>
      <c r="E680" s="28" t="s">
        <v>3</v>
      </c>
      <c r="F680" s="28"/>
      <c r="G680" s="28">
        <f t="shared" si="36"/>
        <v>0</v>
      </c>
    </row>
    <row r="681" spans="2:8" outlineLevel="4" x14ac:dyDescent="0.3">
      <c r="B681" s="28" t="s">
        <v>1470</v>
      </c>
      <c r="C681" s="28" t="s">
        <v>665</v>
      </c>
      <c r="D681" s="28">
        <f>0.5*6</f>
        <v>3</v>
      </c>
      <c r="E681" s="28" t="s">
        <v>3</v>
      </c>
      <c r="F681" s="28"/>
      <c r="G681" s="28">
        <f t="shared" si="36"/>
        <v>0</v>
      </c>
    </row>
    <row r="682" spans="2:8" outlineLevel="4" x14ac:dyDescent="0.3">
      <c r="B682" s="28" t="s">
        <v>1471</v>
      </c>
      <c r="C682" s="28" t="s">
        <v>666</v>
      </c>
      <c r="D682" s="28">
        <f>0.5*2</f>
        <v>1</v>
      </c>
      <c r="E682" s="28" t="s">
        <v>3</v>
      </c>
      <c r="F682" s="28"/>
      <c r="G682" s="28">
        <f t="shared" si="36"/>
        <v>0</v>
      </c>
    </row>
    <row r="683" spans="2:8" outlineLevel="4" x14ac:dyDescent="0.3">
      <c r="B683" s="28" t="s">
        <v>1472</v>
      </c>
      <c r="C683" s="28" t="s">
        <v>667</v>
      </c>
      <c r="D683" s="28">
        <f>0.5*2</f>
        <v>1</v>
      </c>
      <c r="E683" s="28" t="s">
        <v>3</v>
      </c>
      <c r="F683" s="28"/>
      <c r="G683" s="28">
        <f t="shared" si="36"/>
        <v>0</v>
      </c>
    </row>
    <row r="684" spans="2:8" outlineLevel="4" x14ac:dyDescent="0.3">
      <c r="B684" s="28" t="s">
        <v>1473</v>
      </c>
      <c r="C684" s="28" t="s">
        <v>668</v>
      </c>
      <c r="D684" s="28">
        <f>0.5*4</f>
        <v>2</v>
      </c>
      <c r="E684" s="28" t="s">
        <v>3</v>
      </c>
      <c r="F684" s="28"/>
      <c r="G684" s="28">
        <f t="shared" si="36"/>
        <v>0</v>
      </c>
    </row>
    <row r="685" spans="2:8" outlineLevel="4" x14ac:dyDescent="0.3">
      <c r="B685" s="28" t="s">
        <v>1474</v>
      </c>
      <c r="C685" s="28" t="s">
        <v>669</v>
      </c>
      <c r="D685" s="28">
        <f>0.5*20</f>
        <v>10</v>
      </c>
      <c r="E685" s="28" t="s">
        <v>3</v>
      </c>
      <c r="F685" s="28"/>
      <c r="G685" s="28">
        <f t="shared" si="36"/>
        <v>0</v>
      </c>
    </row>
    <row r="686" spans="2:8" outlineLevel="4" x14ac:dyDescent="0.3">
      <c r="B686" s="28" t="s">
        <v>1475</v>
      </c>
      <c r="C686" s="28" t="s">
        <v>670</v>
      </c>
      <c r="D686" s="28">
        <v>19</v>
      </c>
      <c r="E686" s="28" t="s">
        <v>3</v>
      </c>
      <c r="F686" s="28"/>
      <c r="G686" s="28">
        <f t="shared" si="36"/>
        <v>0</v>
      </c>
      <c r="H686" s="122"/>
    </row>
    <row r="687" spans="2:8" outlineLevel="4" x14ac:dyDescent="0.3">
      <c r="B687" s="28" t="s">
        <v>1476</v>
      </c>
      <c r="C687" s="28" t="s">
        <v>671</v>
      </c>
      <c r="D687" s="28">
        <v>19</v>
      </c>
      <c r="E687" s="28" t="s">
        <v>3</v>
      </c>
      <c r="F687" s="28"/>
      <c r="G687" s="28">
        <f t="shared" si="36"/>
        <v>0</v>
      </c>
      <c r="H687" s="122"/>
    </row>
    <row r="688" spans="2:8" outlineLevel="4" x14ac:dyDescent="0.3">
      <c r="B688" s="28" t="s">
        <v>1477</v>
      </c>
      <c r="C688" s="28" t="s">
        <v>672</v>
      </c>
      <c r="D688" s="28">
        <v>19</v>
      </c>
      <c r="E688" s="28" t="s">
        <v>3</v>
      </c>
      <c r="F688" s="28"/>
      <c r="G688" s="28">
        <f t="shared" si="36"/>
        <v>0</v>
      </c>
      <c r="H688" s="122"/>
    </row>
    <row r="689" spans="2:7" outlineLevel="3" x14ac:dyDescent="0.3">
      <c r="B689" s="21" t="s">
        <v>528</v>
      </c>
      <c r="C689" s="22" t="s">
        <v>674</v>
      </c>
      <c r="D689" s="23"/>
      <c r="E689" s="24"/>
      <c r="F689" s="25"/>
      <c r="G689" s="26">
        <f>+SUBTOTAL(9,G690:G730)</f>
        <v>0</v>
      </c>
    </row>
    <row r="690" spans="2:7" outlineLevel="4" x14ac:dyDescent="0.3">
      <c r="B690" s="28" t="s">
        <v>529</v>
      </c>
      <c r="C690" s="28" t="s">
        <v>639</v>
      </c>
      <c r="D690" s="28">
        <v>35</v>
      </c>
      <c r="E690" s="28" t="s">
        <v>3</v>
      </c>
      <c r="F690" s="28"/>
      <c r="G690" s="28">
        <f t="shared" ref="G690:G730" si="37">ROUNDUP(D690*F690,2)</f>
        <v>0</v>
      </c>
    </row>
    <row r="691" spans="2:7" outlineLevel="4" x14ac:dyDescent="0.3">
      <c r="B691" s="28" t="s">
        <v>531</v>
      </c>
      <c r="C691" s="28" t="s">
        <v>640</v>
      </c>
      <c r="D691" s="28">
        <v>45</v>
      </c>
      <c r="E691" s="28" t="s">
        <v>3</v>
      </c>
      <c r="F691" s="28"/>
      <c r="G691" s="28">
        <f t="shared" si="37"/>
        <v>0</v>
      </c>
    </row>
    <row r="692" spans="2:7" outlineLevel="4" x14ac:dyDescent="0.3">
      <c r="B692" s="28" t="s">
        <v>533</v>
      </c>
      <c r="C692" s="28" t="s">
        <v>641</v>
      </c>
      <c r="D692" s="28">
        <v>115</v>
      </c>
      <c r="E692" s="28" t="s">
        <v>3</v>
      </c>
      <c r="F692" s="28"/>
      <c r="G692" s="28">
        <f t="shared" si="37"/>
        <v>0</v>
      </c>
    </row>
    <row r="693" spans="2:7" outlineLevel="4" x14ac:dyDescent="0.3">
      <c r="B693" s="28" t="s">
        <v>534</v>
      </c>
      <c r="C693" s="28" t="s">
        <v>642</v>
      </c>
      <c r="D693" s="28">
        <v>42</v>
      </c>
      <c r="E693" s="28" t="s">
        <v>3</v>
      </c>
      <c r="F693" s="28"/>
      <c r="G693" s="28">
        <f t="shared" si="37"/>
        <v>0</v>
      </c>
    </row>
    <row r="694" spans="2:7" outlineLevel="4" x14ac:dyDescent="0.3">
      <c r="B694" s="28" t="s">
        <v>535</v>
      </c>
      <c r="C694" s="28" t="s">
        <v>643</v>
      </c>
      <c r="D694" s="28">
        <v>52</v>
      </c>
      <c r="E694" s="28" t="s">
        <v>3</v>
      </c>
      <c r="F694" s="28"/>
      <c r="G694" s="28">
        <f t="shared" si="37"/>
        <v>0</v>
      </c>
    </row>
    <row r="695" spans="2:7" outlineLevel="4" x14ac:dyDescent="0.3">
      <c r="B695" s="28" t="s">
        <v>536</v>
      </c>
      <c r="C695" s="28" t="s">
        <v>644</v>
      </c>
      <c r="D695" s="28">
        <v>72</v>
      </c>
      <c r="E695" s="28" t="s">
        <v>3</v>
      </c>
      <c r="F695" s="28"/>
      <c r="G695" s="28">
        <f t="shared" si="37"/>
        <v>0</v>
      </c>
    </row>
    <row r="696" spans="2:7" outlineLevel="4" x14ac:dyDescent="0.3">
      <c r="B696" s="28" t="s">
        <v>537</v>
      </c>
      <c r="C696" s="28" t="s">
        <v>645</v>
      </c>
      <c r="D696" s="28">
        <v>46</v>
      </c>
      <c r="E696" s="28" t="s">
        <v>3</v>
      </c>
      <c r="F696" s="28"/>
      <c r="G696" s="28">
        <f t="shared" si="37"/>
        <v>0</v>
      </c>
    </row>
    <row r="697" spans="2:7" outlineLevel="4" x14ac:dyDescent="0.3">
      <c r="B697" s="28" t="s">
        <v>538</v>
      </c>
      <c r="C697" s="28" t="s">
        <v>646</v>
      </c>
      <c r="D697" s="28">
        <v>37</v>
      </c>
      <c r="E697" s="28" t="s">
        <v>3</v>
      </c>
      <c r="F697" s="28"/>
      <c r="G697" s="28">
        <f t="shared" si="37"/>
        <v>0</v>
      </c>
    </row>
    <row r="698" spans="2:7" outlineLevel="4" x14ac:dyDescent="0.3">
      <c r="B698" s="28" t="s">
        <v>539</v>
      </c>
      <c r="C698" s="28" t="s">
        <v>675</v>
      </c>
      <c r="D698" s="28">
        <v>1</v>
      </c>
      <c r="E698" s="28" t="s">
        <v>3</v>
      </c>
      <c r="F698" s="28"/>
      <c r="G698" s="28">
        <f t="shared" si="37"/>
        <v>0</v>
      </c>
    </row>
    <row r="699" spans="2:7" outlineLevel="4" x14ac:dyDescent="0.3">
      <c r="B699" s="28" t="s">
        <v>540</v>
      </c>
      <c r="C699" s="28" t="s">
        <v>676</v>
      </c>
      <c r="D699" s="28">
        <v>7</v>
      </c>
      <c r="E699" s="28" t="s">
        <v>3</v>
      </c>
      <c r="F699" s="28"/>
      <c r="G699" s="28">
        <f t="shared" si="37"/>
        <v>0</v>
      </c>
    </row>
    <row r="700" spans="2:7" outlineLevel="4" x14ac:dyDescent="0.3">
      <c r="B700" s="28" t="s">
        <v>541</v>
      </c>
      <c r="C700" s="28" t="s">
        <v>647</v>
      </c>
      <c r="D700" s="28">
        <v>15</v>
      </c>
      <c r="E700" s="28" t="s">
        <v>3</v>
      </c>
      <c r="F700" s="28"/>
      <c r="G700" s="28">
        <f t="shared" si="37"/>
        <v>0</v>
      </c>
    </row>
    <row r="701" spans="2:7" outlineLevel="4" x14ac:dyDescent="0.3">
      <c r="B701" s="28" t="s">
        <v>542</v>
      </c>
      <c r="C701" s="28" t="s">
        <v>648</v>
      </c>
      <c r="D701" s="28">
        <v>1</v>
      </c>
      <c r="E701" s="28" t="s">
        <v>3</v>
      </c>
      <c r="F701" s="28"/>
      <c r="G701" s="28">
        <f t="shared" si="37"/>
        <v>0</v>
      </c>
    </row>
    <row r="702" spans="2:7" outlineLevel="4" x14ac:dyDescent="0.3">
      <c r="B702" s="28" t="s">
        <v>543</v>
      </c>
      <c r="C702" s="28" t="s">
        <v>649</v>
      </c>
      <c r="D702" s="28">
        <v>13</v>
      </c>
      <c r="E702" s="28" t="s">
        <v>3</v>
      </c>
      <c r="F702" s="28"/>
      <c r="G702" s="28">
        <f t="shared" si="37"/>
        <v>0</v>
      </c>
    </row>
    <row r="703" spans="2:7" outlineLevel="4" x14ac:dyDescent="0.3">
      <c r="B703" s="28" t="s">
        <v>544</v>
      </c>
      <c r="C703" s="28" t="s">
        <v>650</v>
      </c>
      <c r="D703" s="28">
        <v>3</v>
      </c>
      <c r="E703" s="28" t="s">
        <v>3</v>
      </c>
      <c r="F703" s="28"/>
      <c r="G703" s="28">
        <f t="shared" si="37"/>
        <v>0</v>
      </c>
    </row>
    <row r="704" spans="2:7" outlineLevel="4" x14ac:dyDescent="0.3">
      <c r="B704" s="28" t="s">
        <v>545</v>
      </c>
      <c r="C704" s="28" t="s">
        <v>651</v>
      </c>
      <c r="D704" s="28">
        <v>13</v>
      </c>
      <c r="E704" s="28" t="s">
        <v>3</v>
      </c>
      <c r="F704" s="28"/>
      <c r="G704" s="28">
        <f t="shared" si="37"/>
        <v>0</v>
      </c>
    </row>
    <row r="705" spans="2:7" outlineLevel="4" x14ac:dyDescent="0.3">
      <c r="B705" s="28" t="s">
        <v>1478</v>
      </c>
      <c r="C705" s="28" t="s">
        <v>677</v>
      </c>
      <c r="D705" s="28">
        <v>1</v>
      </c>
      <c r="E705" s="28" t="s">
        <v>3</v>
      </c>
      <c r="F705" s="28"/>
      <c r="G705" s="28">
        <f t="shared" si="37"/>
        <v>0</v>
      </c>
    </row>
    <row r="706" spans="2:7" outlineLevel="4" x14ac:dyDescent="0.3">
      <c r="B706" s="28" t="s">
        <v>1479</v>
      </c>
      <c r="C706" s="28" t="s">
        <v>678</v>
      </c>
      <c r="D706" s="28">
        <v>9</v>
      </c>
      <c r="E706" s="28" t="s">
        <v>3</v>
      </c>
      <c r="F706" s="28"/>
      <c r="G706" s="28">
        <f t="shared" si="37"/>
        <v>0</v>
      </c>
    </row>
    <row r="707" spans="2:7" outlineLevel="4" x14ac:dyDescent="0.3">
      <c r="B707" s="28" t="s">
        <v>1480</v>
      </c>
      <c r="C707" s="28" t="s">
        <v>652</v>
      </c>
      <c r="D707" s="28">
        <v>14</v>
      </c>
      <c r="E707" s="28" t="s">
        <v>3</v>
      </c>
      <c r="F707" s="28"/>
      <c r="G707" s="28">
        <f t="shared" si="37"/>
        <v>0</v>
      </c>
    </row>
    <row r="708" spans="2:7" outlineLevel="4" x14ac:dyDescent="0.3">
      <c r="B708" s="28" t="s">
        <v>1481</v>
      </c>
      <c r="C708" s="28" t="s">
        <v>679</v>
      </c>
      <c r="D708" s="28">
        <v>1</v>
      </c>
      <c r="E708" s="28" t="s">
        <v>3</v>
      </c>
      <c r="F708" s="28"/>
      <c r="G708" s="28">
        <f t="shared" si="37"/>
        <v>0</v>
      </c>
    </row>
    <row r="709" spans="2:7" outlineLevel="4" x14ac:dyDescent="0.3">
      <c r="B709" s="28" t="s">
        <v>1482</v>
      </c>
      <c r="C709" s="28" t="s">
        <v>653</v>
      </c>
      <c r="D709" s="28">
        <v>14</v>
      </c>
      <c r="E709" s="28" t="s">
        <v>3</v>
      </c>
      <c r="F709" s="28"/>
      <c r="G709" s="28">
        <f t="shared" si="37"/>
        <v>0</v>
      </c>
    </row>
    <row r="710" spans="2:7" outlineLevel="4" x14ac:dyDescent="0.3">
      <c r="B710" s="28" t="s">
        <v>1483</v>
      </c>
      <c r="C710" s="28" t="s">
        <v>654</v>
      </c>
      <c r="D710" s="28">
        <v>42</v>
      </c>
      <c r="E710" s="28" t="s">
        <v>3</v>
      </c>
      <c r="F710" s="28"/>
      <c r="G710" s="28">
        <f t="shared" si="37"/>
        <v>0</v>
      </c>
    </row>
    <row r="711" spans="2:7" outlineLevel="4" x14ac:dyDescent="0.3">
      <c r="B711" s="28" t="s">
        <v>1484</v>
      </c>
      <c r="C711" s="28" t="s">
        <v>655</v>
      </c>
      <c r="D711" s="28">
        <v>32</v>
      </c>
      <c r="E711" s="28" t="s">
        <v>3</v>
      </c>
      <c r="F711" s="28"/>
      <c r="G711" s="28">
        <f t="shared" si="37"/>
        <v>0</v>
      </c>
    </row>
    <row r="712" spans="2:7" outlineLevel="4" x14ac:dyDescent="0.3">
      <c r="B712" s="28" t="s">
        <v>1485</v>
      </c>
      <c r="C712" s="28" t="s">
        <v>656</v>
      </c>
      <c r="D712" s="28">
        <v>18</v>
      </c>
      <c r="E712" s="28" t="s">
        <v>3</v>
      </c>
      <c r="F712" s="28"/>
      <c r="G712" s="28">
        <f t="shared" si="37"/>
        <v>0</v>
      </c>
    </row>
    <row r="713" spans="2:7" outlineLevel="4" x14ac:dyDescent="0.3">
      <c r="B713" s="28" t="s">
        <v>1486</v>
      </c>
      <c r="C713" s="28" t="s">
        <v>657</v>
      </c>
      <c r="D713" s="28">
        <v>18</v>
      </c>
      <c r="E713" s="28" t="s">
        <v>3</v>
      </c>
      <c r="F713" s="28"/>
      <c r="G713" s="28">
        <f t="shared" si="37"/>
        <v>0</v>
      </c>
    </row>
    <row r="714" spans="2:7" outlineLevel="4" x14ac:dyDescent="0.3">
      <c r="B714" s="28" t="s">
        <v>1487</v>
      </c>
      <c r="C714" s="28" t="s">
        <v>658</v>
      </c>
      <c r="D714" s="28">
        <v>18</v>
      </c>
      <c r="E714" s="28" t="s">
        <v>3</v>
      </c>
      <c r="F714" s="28"/>
      <c r="G714" s="28">
        <f t="shared" si="37"/>
        <v>0</v>
      </c>
    </row>
    <row r="715" spans="2:7" outlineLevel="4" x14ac:dyDescent="0.3">
      <c r="B715" s="28" t="s">
        <v>1488</v>
      </c>
      <c r="C715" s="28" t="s">
        <v>659</v>
      </c>
      <c r="D715" s="28">
        <v>32</v>
      </c>
      <c r="E715" s="28" t="s">
        <v>3</v>
      </c>
      <c r="F715" s="28"/>
      <c r="G715" s="28">
        <f t="shared" si="37"/>
        <v>0</v>
      </c>
    </row>
    <row r="716" spans="2:7" outlineLevel="4" x14ac:dyDescent="0.3">
      <c r="B716" s="28" t="s">
        <v>1489</v>
      </c>
      <c r="C716" s="28" t="s">
        <v>660</v>
      </c>
      <c r="D716" s="28">
        <v>68</v>
      </c>
      <c r="E716" s="28" t="s">
        <v>3</v>
      </c>
      <c r="F716" s="28"/>
      <c r="G716" s="28">
        <f t="shared" si="37"/>
        <v>0</v>
      </c>
    </row>
    <row r="717" spans="2:7" outlineLevel="4" x14ac:dyDescent="0.3">
      <c r="B717" s="28" t="s">
        <v>1490</v>
      </c>
      <c r="C717" s="28" t="s">
        <v>680</v>
      </c>
      <c r="D717" s="28">
        <v>8</v>
      </c>
      <c r="E717" s="28" t="s">
        <v>3</v>
      </c>
      <c r="F717" s="28"/>
      <c r="G717" s="28">
        <f t="shared" si="37"/>
        <v>0</v>
      </c>
    </row>
    <row r="718" spans="2:7" outlineLevel="4" x14ac:dyDescent="0.3">
      <c r="B718" s="28" t="s">
        <v>1491</v>
      </c>
      <c r="C718" s="28" t="s">
        <v>681</v>
      </c>
      <c r="D718" s="28">
        <v>1</v>
      </c>
      <c r="E718" s="28" t="s">
        <v>3</v>
      </c>
      <c r="F718" s="28"/>
      <c r="G718" s="28">
        <f t="shared" si="37"/>
        <v>0</v>
      </c>
    </row>
    <row r="719" spans="2:7" outlineLevel="4" x14ac:dyDescent="0.3">
      <c r="B719" s="28" t="s">
        <v>1492</v>
      </c>
      <c r="C719" s="28" t="s">
        <v>661</v>
      </c>
      <c r="D719" s="28">
        <v>24</v>
      </c>
      <c r="E719" s="28" t="s">
        <v>3</v>
      </c>
      <c r="F719" s="28"/>
      <c r="G719" s="28">
        <f t="shared" si="37"/>
        <v>0</v>
      </c>
    </row>
    <row r="720" spans="2:7" outlineLevel="4" x14ac:dyDescent="0.3">
      <c r="B720" s="28" t="s">
        <v>1493</v>
      </c>
      <c r="C720" s="28" t="s">
        <v>662</v>
      </c>
      <c r="D720" s="28">
        <v>49</v>
      </c>
      <c r="E720" s="28" t="s">
        <v>3</v>
      </c>
      <c r="F720" s="28"/>
      <c r="G720" s="28">
        <f t="shared" si="37"/>
        <v>0</v>
      </c>
    </row>
    <row r="721" spans="2:8" outlineLevel="4" x14ac:dyDescent="0.3">
      <c r="B721" s="28" t="s">
        <v>1494</v>
      </c>
      <c r="C721" s="28" t="s">
        <v>663</v>
      </c>
      <c r="D721" s="28">
        <v>54</v>
      </c>
      <c r="E721" s="28" t="s">
        <v>3</v>
      </c>
      <c r="F721" s="28"/>
      <c r="G721" s="28">
        <f t="shared" si="37"/>
        <v>0</v>
      </c>
    </row>
    <row r="722" spans="2:8" outlineLevel="4" x14ac:dyDescent="0.3">
      <c r="B722" s="28" t="s">
        <v>1495</v>
      </c>
      <c r="C722" s="28" t="s">
        <v>664</v>
      </c>
      <c r="D722" s="28">
        <v>30</v>
      </c>
      <c r="E722" s="28" t="s">
        <v>3</v>
      </c>
      <c r="F722" s="28"/>
      <c r="G722" s="28">
        <f t="shared" si="37"/>
        <v>0</v>
      </c>
    </row>
    <row r="723" spans="2:8" outlineLevel="4" x14ac:dyDescent="0.3">
      <c r="B723" s="28" t="s">
        <v>1496</v>
      </c>
      <c r="C723" s="28" t="s">
        <v>665</v>
      </c>
      <c r="D723" s="28">
        <v>28</v>
      </c>
      <c r="E723" s="28" t="s">
        <v>3</v>
      </c>
      <c r="F723" s="28"/>
      <c r="G723" s="28">
        <f t="shared" si="37"/>
        <v>0</v>
      </c>
    </row>
    <row r="724" spans="2:8" outlineLevel="4" x14ac:dyDescent="0.3">
      <c r="B724" s="28" t="s">
        <v>1497</v>
      </c>
      <c r="C724" s="28" t="s">
        <v>666</v>
      </c>
      <c r="D724" s="28">
        <v>28</v>
      </c>
      <c r="E724" s="28" t="s">
        <v>3</v>
      </c>
      <c r="F724" s="28"/>
      <c r="G724" s="28">
        <f t="shared" si="37"/>
        <v>0</v>
      </c>
    </row>
    <row r="725" spans="2:8" outlineLevel="4" x14ac:dyDescent="0.3">
      <c r="B725" s="28" t="s">
        <v>1498</v>
      </c>
      <c r="C725" s="28" t="s">
        <v>667</v>
      </c>
      <c r="D725" s="28">
        <v>10</v>
      </c>
      <c r="E725" s="28" t="s">
        <v>3</v>
      </c>
      <c r="F725" s="28"/>
      <c r="G725" s="28">
        <f t="shared" si="37"/>
        <v>0</v>
      </c>
    </row>
    <row r="726" spans="2:8" outlineLevel="4" x14ac:dyDescent="0.3">
      <c r="B726" s="28" t="s">
        <v>1499</v>
      </c>
      <c r="C726" s="28" t="s">
        <v>668</v>
      </c>
      <c r="D726" s="28">
        <v>15</v>
      </c>
      <c r="E726" s="28" t="s">
        <v>3</v>
      </c>
      <c r="F726" s="28"/>
      <c r="G726" s="28">
        <f t="shared" si="37"/>
        <v>0</v>
      </c>
    </row>
    <row r="727" spans="2:8" outlineLevel="4" x14ac:dyDescent="0.3">
      <c r="B727" s="28" t="s">
        <v>1500</v>
      </c>
      <c r="C727" s="28" t="s">
        <v>669</v>
      </c>
      <c r="D727" s="28">
        <v>50</v>
      </c>
      <c r="E727" s="28" t="s">
        <v>3</v>
      </c>
      <c r="F727" s="28"/>
      <c r="G727" s="28">
        <f t="shared" si="37"/>
        <v>0</v>
      </c>
    </row>
    <row r="728" spans="2:8" outlineLevel="4" x14ac:dyDescent="0.3">
      <c r="B728" s="28" t="s">
        <v>1501</v>
      </c>
      <c r="C728" s="28" t="s">
        <v>670</v>
      </c>
      <c r="D728" s="28">
        <v>127</v>
      </c>
      <c r="E728" s="28" t="s">
        <v>3</v>
      </c>
      <c r="F728" s="28"/>
      <c r="G728" s="28">
        <f t="shared" si="37"/>
        <v>0</v>
      </c>
      <c r="H728" s="122"/>
    </row>
    <row r="729" spans="2:8" outlineLevel="4" x14ac:dyDescent="0.3">
      <c r="B729" s="28" t="s">
        <v>1502</v>
      </c>
      <c r="C729" s="28" t="s">
        <v>671</v>
      </c>
      <c r="D729" s="28">
        <v>127</v>
      </c>
      <c r="E729" s="28" t="s">
        <v>3</v>
      </c>
      <c r="F729" s="28"/>
      <c r="G729" s="28">
        <f t="shared" si="37"/>
        <v>0</v>
      </c>
      <c r="H729" s="122"/>
    </row>
    <row r="730" spans="2:8" outlineLevel="4" x14ac:dyDescent="0.3">
      <c r="B730" s="28" t="s">
        <v>1503</v>
      </c>
      <c r="C730" s="28" t="s">
        <v>672</v>
      </c>
      <c r="D730" s="28">
        <v>127</v>
      </c>
      <c r="E730" s="28" t="s">
        <v>3</v>
      </c>
      <c r="F730" s="28"/>
      <c r="G730" s="28">
        <f t="shared" si="37"/>
        <v>0</v>
      </c>
      <c r="H730" s="122"/>
    </row>
    <row r="731" spans="2:8" outlineLevel="3" x14ac:dyDescent="0.3">
      <c r="B731" s="21" t="s">
        <v>546</v>
      </c>
      <c r="C731" s="22" t="s">
        <v>683</v>
      </c>
      <c r="D731" s="23"/>
      <c r="E731" s="24"/>
      <c r="F731" s="25"/>
      <c r="G731" s="26">
        <f>+SUBTOTAL(9,G732:G753)</f>
        <v>0</v>
      </c>
    </row>
    <row r="732" spans="2:8" outlineLevel="4" x14ac:dyDescent="0.3">
      <c r="B732" s="28" t="s">
        <v>547</v>
      </c>
      <c r="C732" s="28" t="s">
        <v>639</v>
      </c>
      <c r="D732" s="28">
        <v>2</v>
      </c>
      <c r="E732" s="28" t="s">
        <v>3</v>
      </c>
      <c r="F732" s="28"/>
      <c r="G732" s="28">
        <f t="shared" ref="G732:G753" si="38">ROUNDUP(D732*F732,2)</f>
        <v>0</v>
      </c>
    </row>
    <row r="733" spans="2:8" outlineLevel="4" x14ac:dyDescent="0.3">
      <c r="B733" s="28" t="s">
        <v>1504</v>
      </c>
      <c r="C733" s="28" t="s">
        <v>640</v>
      </c>
      <c r="D733" s="28">
        <v>6</v>
      </c>
      <c r="E733" s="28" t="s">
        <v>3</v>
      </c>
      <c r="F733" s="28"/>
      <c r="G733" s="28">
        <f t="shared" si="38"/>
        <v>0</v>
      </c>
    </row>
    <row r="734" spans="2:8" outlineLevel="4" x14ac:dyDescent="0.3">
      <c r="B734" s="28" t="s">
        <v>1505</v>
      </c>
      <c r="C734" s="28" t="s">
        <v>641</v>
      </c>
      <c r="D734" s="28">
        <v>2</v>
      </c>
      <c r="E734" s="28" t="s">
        <v>3</v>
      </c>
      <c r="F734" s="28"/>
      <c r="G734" s="28">
        <f t="shared" si="38"/>
        <v>0</v>
      </c>
    </row>
    <row r="735" spans="2:8" outlineLevel="4" x14ac:dyDescent="0.3">
      <c r="B735" s="28" t="s">
        <v>1506</v>
      </c>
      <c r="C735" s="28" t="s">
        <v>642</v>
      </c>
      <c r="D735" s="28">
        <v>18</v>
      </c>
      <c r="E735" s="28" t="s">
        <v>3</v>
      </c>
      <c r="F735" s="28"/>
      <c r="G735" s="28">
        <f t="shared" si="38"/>
        <v>0</v>
      </c>
    </row>
    <row r="736" spans="2:8" outlineLevel="4" x14ac:dyDescent="0.3">
      <c r="B736" s="28" t="s">
        <v>1507</v>
      </c>
      <c r="C736" s="28" t="s">
        <v>643</v>
      </c>
      <c r="D736" s="28">
        <v>12</v>
      </c>
      <c r="E736" s="28" t="s">
        <v>3</v>
      </c>
      <c r="F736" s="28"/>
      <c r="G736" s="28">
        <f t="shared" si="38"/>
        <v>0</v>
      </c>
    </row>
    <row r="737" spans="2:8" outlineLevel="4" x14ac:dyDescent="0.3">
      <c r="B737" s="28" t="s">
        <v>1508</v>
      </c>
      <c r="C737" s="28" t="s">
        <v>644</v>
      </c>
      <c r="D737" s="28">
        <v>10</v>
      </c>
      <c r="E737" s="28" t="s">
        <v>3</v>
      </c>
      <c r="F737" s="28"/>
      <c r="G737" s="28">
        <f t="shared" si="38"/>
        <v>0</v>
      </c>
    </row>
    <row r="738" spans="2:8" outlineLevel="4" x14ac:dyDescent="0.3">
      <c r="B738" s="28" t="s">
        <v>1509</v>
      </c>
      <c r="C738" s="28" t="s">
        <v>645</v>
      </c>
      <c r="D738" s="28">
        <v>9</v>
      </c>
      <c r="E738" s="28" t="s">
        <v>3</v>
      </c>
      <c r="F738" s="28"/>
      <c r="G738" s="28">
        <f t="shared" si="38"/>
        <v>0</v>
      </c>
    </row>
    <row r="739" spans="2:8" outlineLevel="4" x14ac:dyDescent="0.3">
      <c r="B739" s="28" t="s">
        <v>1510</v>
      </c>
      <c r="C739" s="28" t="s">
        <v>646</v>
      </c>
      <c r="D739" s="28">
        <v>3</v>
      </c>
      <c r="E739" s="28" t="s">
        <v>3</v>
      </c>
      <c r="F739" s="28"/>
      <c r="G739" s="28">
        <f t="shared" si="38"/>
        <v>0</v>
      </c>
    </row>
    <row r="740" spans="2:8" outlineLevel="4" x14ac:dyDescent="0.3">
      <c r="B740" s="28" t="s">
        <v>1511</v>
      </c>
      <c r="C740" s="28" t="s">
        <v>675</v>
      </c>
      <c r="D740" s="28">
        <v>7</v>
      </c>
      <c r="E740" s="28" t="s">
        <v>3</v>
      </c>
      <c r="F740" s="28"/>
      <c r="G740" s="28">
        <f t="shared" si="38"/>
        <v>0</v>
      </c>
    </row>
    <row r="741" spans="2:8" outlineLevel="4" x14ac:dyDescent="0.3">
      <c r="B741" s="28" t="s">
        <v>1512</v>
      </c>
      <c r="C741" s="28" t="s">
        <v>676</v>
      </c>
      <c r="D741" s="28">
        <v>2</v>
      </c>
      <c r="E741" s="28" t="s">
        <v>3</v>
      </c>
      <c r="F741" s="28"/>
      <c r="G741" s="28">
        <f t="shared" si="38"/>
        <v>0</v>
      </c>
    </row>
    <row r="742" spans="2:8" outlineLevel="4" x14ac:dyDescent="0.3">
      <c r="B742" s="28" t="s">
        <v>1513</v>
      </c>
      <c r="C742" s="28" t="s">
        <v>651</v>
      </c>
      <c r="D742" s="28">
        <v>9</v>
      </c>
      <c r="E742" s="28" t="s">
        <v>3</v>
      </c>
      <c r="F742" s="28"/>
      <c r="G742" s="28">
        <f t="shared" si="38"/>
        <v>0</v>
      </c>
    </row>
    <row r="743" spans="2:8" outlineLevel="4" x14ac:dyDescent="0.3">
      <c r="B743" s="28" t="s">
        <v>1514</v>
      </c>
      <c r="C743" s="28" t="s">
        <v>684</v>
      </c>
      <c r="D743" s="28">
        <v>1</v>
      </c>
      <c r="E743" s="28" t="s">
        <v>3</v>
      </c>
      <c r="F743" s="28"/>
      <c r="G743" s="28">
        <f t="shared" si="38"/>
        <v>0</v>
      </c>
    </row>
    <row r="744" spans="2:8" outlineLevel="4" x14ac:dyDescent="0.3">
      <c r="B744" s="28" t="s">
        <v>1515</v>
      </c>
      <c r="C744" s="28" t="s">
        <v>685</v>
      </c>
      <c r="D744" s="28">
        <v>3</v>
      </c>
      <c r="E744" s="28" t="s">
        <v>3</v>
      </c>
      <c r="F744" s="28"/>
      <c r="G744" s="28">
        <f t="shared" si="38"/>
        <v>0</v>
      </c>
    </row>
    <row r="745" spans="2:8" outlineLevel="4" x14ac:dyDescent="0.3">
      <c r="B745" s="28" t="s">
        <v>1516</v>
      </c>
      <c r="C745" s="28" t="s">
        <v>661</v>
      </c>
      <c r="D745" s="28">
        <v>10</v>
      </c>
      <c r="E745" s="28" t="s">
        <v>3</v>
      </c>
      <c r="F745" s="28"/>
      <c r="G745" s="28">
        <f t="shared" si="38"/>
        <v>0</v>
      </c>
    </row>
    <row r="746" spans="2:8" outlineLevel="4" x14ac:dyDescent="0.3">
      <c r="B746" s="28" t="s">
        <v>1517</v>
      </c>
      <c r="C746" s="28" t="s">
        <v>662</v>
      </c>
      <c r="D746" s="28">
        <v>19</v>
      </c>
      <c r="E746" s="28" t="s">
        <v>3</v>
      </c>
      <c r="F746" s="28"/>
      <c r="G746" s="28">
        <f t="shared" si="38"/>
        <v>0</v>
      </c>
    </row>
    <row r="747" spans="2:8" outlineLevel="4" x14ac:dyDescent="0.3">
      <c r="B747" s="28" t="s">
        <v>1518</v>
      </c>
      <c r="C747" s="28" t="s">
        <v>664</v>
      </c>
      <c r="D747" s="28">
        <v>6</v>
      </c>
      <c r="E747" s="28" t="s">
        <v>3</v>
      </c>
      <c r="F747" s="28"/>
      <c r="G747" s="28">
        <f t="shared" si="38"/>
        <v>0</v>
      </c>
    </row>
    <row r="748" spans="2:8" outlineLevel="4" x14ac:dyDescent="0.3">
      <c r="B748" s="28" t="s">
        <v>1519</v>
      </c>
      <c r="C748" s="28" t="s">
        <v>665</v>
      </c>
      <c r="D748" s="28">
        <v>6</v>
      </c>
      <c r="E748" s="28" t="s">
        <v>3</v>
      </c>
      <c r="F748" s="28"/>
      <c r="G748" s="28">
        <f t="shared" si="38"/>
        <v>0</v>
      </c>
    </row>
    <row r="749" spans="2:8" outlineLevel="4" x14ac:dyDescent="0.3">
      <c r="B749" s="28" t="s">
        <v>1520</v>
      </c>
      <c r="C749" s="28" t="s">
        <v>666</v>
      </c>
      <c r="D749" s="28">
        <v>2</v>
      </c>
      <c r="E749" s="28" t="s">
        <v>3</v>
      </c>
      <c r="F749" s="28"/>
      <c r="G749" s="28">
        <f t="shared" si="38"/>
        <v>0</v>
      </c>
    </row>
    <row r="750" spans="2:8" outlineLevel="4" x14ac:dyDescent="0.3">
      <c r="B750" s="28" t="s">
        <v>1521</v>
      </c>
      <c r="C750" s="28" t="s">
        <v>669</v>
      </c>
      <c r="D750" s="28">
        <v>18</v>
      </c>
      <c r="E750" s="28" t="s">
        <v>3</v>
      </c>
      <c r="F750" s="28"/>
      <c r="G750" s="28">
        <f t="shared" si="38"/>
        <v>0</v>
      </c>
    </row>
    <row r="751" spans="2:8" outlineLevel="4" x14ac:dyDescent="0.3">
      <c r="B751" s="28" t="s">
        <v>1522</v>
      </c>
      <c r="C751" s="28" t="s">
        <v>670</v>
      </c>
      <c r="D751" s="28">
        <v>29</v>
      </c>
      <c r="E751" s="28" t="s">
        <v>3</v>
      </c>
      <c r="F751" s="28"/>
      <c r="G751" s="28">
        <f t="shared" si="38"/>
        <v>0</v>
      </c>
      <c r="H751" s="122"/>
    </row>
    <row r="752" spans="2:8" outlineLevel="4" x14ac:dyDescent="0.3">
      <c r="B752" s="28" t="s">
        <v>1523</v>
      </c>
      <c r="C752" s="28" t="s">
        <v>671</v>
      </c>
      <c r="D752" s="28">
        <v>29</v>
      </c>
      <c r="E752" s="28" t="s">
        <v>3</v>
      </c>
      <c r="F752" s="28"/>
      <c r="G752" s="28">
        <f t="shared" si="38"/>
        <v>0</v>
      </c>
      <c r="H752" s="122"/>
    </row>
    <row r="753" spans="2:8" outlineLevel="4" x14ac:dyDescent="0.3">
      <c r="B753" s="28" t="s">
        <v>1524</v>
      </c>
      <c r="C753" s="28" t="s">
        <v>672</v>
      </c>
      <c r="D753" s="28">
        <v>29</v>
      </c>
      <c r="E753" s="28" t="s">
        <v>3</v>
      </c>
      <c r="F753" s="28"/>
      <c r="G753" s="28">
        <f t="shared" si="38"/>
        <v>0</v>
      </c>
      <c r="H753" s="122"/>
    </row>
    <row r="754" spans="2:8" outlineLevel="3" x14ac:dyDescent="0.3">
      <c r="B754" s="21" t="s">
        <v>1077</v>
      </c>
      <c r="C754" s="22" t="s">
        <v>687</v>
      </c>
      <c r="D754" s="23"/>
      <c r="E754" s="24"/>
      <c r="F754" s="25"/>
      <c r="G754" s="26">
        <f>+SUBTOTAL(9,G755:G783)</f>
        <v>0</v>
      </c>
    </row>
    <row r="755" spans="2:8" outlineLevel="4" x14ac:dyDescent="0.3">
      <c r="B755" s="28" t="s">
        <v>1525</v>
      </c>
      <c r="C755" s="28" t="s">
        <v>688</v>
      </c>
      <c r="D755" s="28">
        <f>4*0.5</f>
        <v>2</v>
      </c>
      <c r="E755" s="28" t="s">
        <v>3</v>
      </c>
      <c r="F755" s="28"/>
      <c r="G755" s="28">
        <f t="shared" ref="G755:G783" si="39">ROUNDUP(D755*F755,2)</f>
        <v>0</v>
      </c>
    </row>
    <row r="756" spans="2:8" outlineLevel="4" x14ac:dyDescent="0.3">
      <c r="B756" s="28" t="s">
        <v>1526</v>
      </c>
      <c r="C756" s="28" t="s">
        <v>640</v>
      </c>
      <c r="D756" s="28">
        <v>30</v>
      </c>
      <c r="E756" s="28" t="s">
        <v>3</v>
      </c>
      <c r="F756" s="28"/>
      <c r="G756" s="28">
        <f t="shared" si="39"/>
        <v>0</v>
      </c>
    </row>
    <row r="757" spans="2:8" outlineLevel="4" x14ac:dyDescent="0.3">
      <c r="B757" s="28" t="s">
        <v>1527</v>
      </c>
      <c r="C757" s="28" t="s">
        <v>689</v>
      </c>
      <c r="D757" s="28">
        <v>6</v>
      </c>
      <c r="E757" s="28" t="s">
        <v>3</v>
      </c>
      <c r="F757" s="28"/>
      <c r="G757" s="28">
        <f t="shared" si="39"/>
        <v>0</v>
      </c>
    </row>
    <row r="758" spans="2:8" outlineLevel="4" x14ac:dyDescent="0.3">
      <c r="B758" s="28" t="s">
        <v>1528</v>
      </c>
      <c r="C758" s="28" t="s">
        <v>690</v>
      </c>
      <c r="D758" s="28">
        <f>0.8*18</f>
        <v>14.4</v>
      </c>
      <c r="E758" s="28" t="s">
        <v>3</v>
      </c>
      <c r="F758" s="28"/>
      <c r="G758" s="28">
        <f t="shared" si="39"/>
        <v>0</v>
      </c>
    </row>
    <row r="759" spans="2:8" outlineLevel="4" x14ac:dyDescent="0.3">
      <c r="B759" s="28" t="s">
        <v>1529</v>
      </c>
      <c r="C759" s="28" t="s">
        <v>642</v>
      </c>
      <c r="D759" s="28">
        <f>0.4*34</f>
        <v>13.600000000000001</v>
      </c>
      <c r="E759" s="28" t="s">
        <v>3</v>
      </c>
      <c r="F759" s="28"/>
      <c r="G759" s="28">
        <f t="shared" si="39"/>
        <v>0</v>
      </c>
    </row>
    <row r="760" spans="2:8" outlineLevel="4" x14ac:dyDescent="0.3">
      <c r="B760" s="28" t="s">
        <v>1530</v>
      </c>
      <c r="C760" s="28" t="s">
        <v>643</v>
      </c>
      <c r="D760" s="28">
        <f>0.5*34</f>
        <v>17</v>
      </c>
      <c r="E760" s="28" t="s">
        <v>3</v>
      </c>
      <c r="F760" s="28"/>
      <c r="G760" s="28">
        <f t="shared" si="39"/>
        <v>0</v>
      </c>
    </row>
    <row r="761" spans="2:8" outlineLevel="4" x14ac:dyDescent="0.3">
      <c r="B761" s="28" t="s">
        <v>1531</v>
      </c>
      <c r="C761" s="28" t="s">
        <v>691</v>
      </c>
      <c r="D761" s="28">
        <v>4</v>
      </c>
      <c r="E761" s="28" t="s">
        <v>3</v>
      </c>
      <c r="F761" s="28"/>
      <c r="G761" s="28">
        <f t="shared" si="39"/>
        <v>0</v>
      </c>
    </row>
    <row r="762" spans="2:8" outlineLevel="4" x14ac:dyDescent="0.3">
      <c r="B762" s="28" t="s">
        <v>1532</v>
      </c>
      <c r="C762" s="28" t="s">
        <v>692</v>
      </c>
      <c r="D762" s="28">
        <v>9</v>
      </c>
      <c r="E762" s="28" t="s">
        <v>3</v>
      </c>
      <c r="F762" s="28"/>
      <c r="G762" s="28">
        <f t="shared" si="39"/>
        <v>0</v>
      </c>
    </row>
    <row r="763" spans="2:8" outlineLevel="4" x14ac:dyDescent="0.3">
      <c r="B763" s="28" t="s">
        <v>1533</v>
      </c>
      <c r="C763" s="28" t="s">
        <v>645</v>
      </c>
      <c r="D763" s="28">
        <v>2</v>
      </c>
      <c r="E763" s="28" t="s">
        <v>3</v>
      </c>
      <c r="F763" s="28"/>
      <c r="G763" s="28">
        <f t="shared" si="39"/>
        <v>0</v>
      </c>
    </row>
    <row r="764" spans="2:8" outlineLevel="4" x14ac:dyDescent="0.3">
      <c r="B764" s="28" t="s">
        <v>1534</v>
      </c>
      <c r="C764" s="28" t="s">
        <v>693</v>
      </c>
      <c r="D764" s="28">
        <v>14</v>
      </c>
      <c r="E764" s="28" t="s">
        <v>3</v>
      </c>
      <c r="F764" s="28"/>
      <c r="G764" s="28">
        <f t="shared" si="39"/>
        <v>0</v>
      </c>
    </row>
    <row r="765" spans="2:8" outlineLevel="4" x14ac:dyDescent="0.3">
      <c r="B765" s="28" t="s">
        <v>1535</v>
      </c>
      <c r="C765" s="28" t="s">
        <v>675</v>
      </c>
      <c r="D765" s="28">
        <v>3</v>
      </c>
      <c r="E765" s="28" t="s">
        <v>3</v>
      </c>
      <c r="F765" s="28"/>
      <c r="G765" s="28">
        <f t="shared" si="39"/>
        <v>0</v>
      </c>
    </row>
    <row r="766" spans="2:8" outlineLevel="4" x14ac:dyDescent="0.3">
      <c r="B766" s="28" t="s">
        <v>1536</v>
      </c>
      <c r="C766" s="28" t="s">
        <v>694</v>
      </c>
      <c r="D766" s="28">
        <v>1</v>
      </c>
      <c r="E766" s="28" t="s">
        <v>3</v>
      </c>
      <c r="F766" s="28"/>
      <c r="G766" s="28">
        <f t="shared" si="39"/>
        <v>0</v>
      </c>
    </row>
    <row r="767" spans="2:8" outlineLevel="4" x14ac:dyDescent="0.3">
      <c r="B767" s="28" t="s">
        <v>1537</v>
      </c>
      <c r="C767" s="28" t="s">
        <v>652</v>
      </c>
      <c r="D767" s="28">
        <v>10</v>
      </c>
      <c r="E767" s="28" t="s">
        <v>3</v>
      </c>
      <c r="F767" s="28"/>
      <c r="G767" s="28">
        <f t="shared" si="39"/>
        <v>0</v>
      </c>
    </row>
    <row r="768" spans="2:8" outlineLevel="4" x14ac:dyDescent="0.3">
      <c r="B768" s="28" t="s">
        <v>1538</v>
      </c>
      <c r="C768" s="28" t="s">
        <v>695</v>
      </c>
      <c r="D768" s="28">
        <v>2</v>
      </c>
      <c r="E768" s="28" t="s">
        <v>3</v>
      </c>
      <c r="F768" s="28"/>
      <c r="G768" s="28">
        <f t="shared" si="39"/>
        <v>0</v>
      </c>
    </row>
    <row r="769" spans="2:7" outlineLevel="4" x14ac:dyDescent="0.3">
      <c r="B769" s="28" t="s">
        <v>1539</v>
      </c>
      <c r="C769" s="28" t="s">
        <v>696</v>
      </c>
      <c r="D769" s="28">
        <v>2</v>
      </c>
      <c r="E769" s="28" t="s">
        <v>3</v>
      </c>
      <c r="F769" s="28"/>
      <c r="G769" s="28">
        <f t="shared" si="39"/>
        <v>0</v>
      </c>
    </row>
    <row r="770" spans="2:7" outlineLevel="4" x14ac:dyDescent="0.3">
      <c r="B770" s="28" t="s">
        <v>1540</v>
      </c>
      <c r="C770" s="28" t="s">
        <v>697</v>
      </c>
      <c r="D770" s="28">
        <v>20</v>
      </c>
      <c r="E770" s="28" t="s">
        <v>3</v>
      </c>
      <c r="F770" s="28"/>
      <c r="G770" s="28">
        <f t="shared" si="39"/>
        <v>0</v>
      </c>
    </row>
    <row r="771" spans="2:7" outlineLevel="4" x14ac:dyDescent="0.3">
      <c r="B771" s="28" t="s">
        <v>1541</v>
      </c>
      <c r="C771" s="28" t="s">
        <v>698</v>
      </c>
      <c r="D771" s="28">
        <v>18</v>
      </c>
      <c r="E771" s="28" t="s">
        <v>3</v>
      </c>
      <c r="F771" s="28"/>
      <c r="G771" s="28">
        <f t="shared" si="39"/>
        <v>0</v>
      </c>
    </row>
    <row r="772" spans="2:7" outlineLevel="4" x14ac:dyDescent="0.3">
      <c r="B772" s="28" t="s">
        <v>1542</v>
      </c>
      <c r="C772" s="28" t="s">
        <v>699</v>
      </c>
      <c r="D772" s="28">
        <v>18</v>
      </c>
      <c r="E772" s="28" t="s">
        <v>3</v>
      </c>
      <c r="F772" s="28"/>
      <c r="G772" s="28">
        <f t="shared" si="39"/>
        <v>0</v>
      </c>
    </row>
    <row r="773" spans="2:7" outlineLevel="4" x14ac:dyDescent="0.3">
      <c r="B773" s="28" t="s">
        <v>1543</v>
      </c>
      <c r="C773" s="28" t="s">
        <v>700</v>
      </c>
      <c r="D773" s="28">
        <f>0.75*20</f>
        <v>15</v>
      </c>
      <c r="E773" s="28" t="s">
        <v>3</v>
      </c>
      <c r="F773" s="28"/>
      <c r="G773" s="28">
        <f t="shared" si="39"/>
        <v>0</v>
      </c>
    </row>
    <row r="774" spans="2:7" outlineLevel="4" x14ac:dyDescent="0.3">
      <c r="B774" s="28" t="s">
        <v>1544</v>
      </c>
      <c r="C774" s="28" t="s">
        <v>701</v>
      </c>
      <c r="D774" s="28">
        <v>38</v>
      </c>
      <c r="E774" s="28" t="s">
        <v>3</v>
      </c>
      <c r="F774" s="28"/>
      <c r="G774" s="28">
        <f t="shared" si="39"/>
        <v>0</v>
      </c>
    </row>
    <row r="775" spans="2:7" outlineLevel="4" x14ac:dyDescent="0.3">
      <c r="B775" s="28" t="s">
        <v>1545</v>
      </c>
      <c r="C775" s="28" t="s">
        <v>660</v>
      </c>
      <c r="D775" s="28">
        <v>2</v>
      </c>
      <c r="E775" s="28" t="s">
        <v>3</v>
      </c>
      <c r="F775" s="28"/>
      <c r="G775" s="28">
        <f t="shared" si="39"/>
        <v>0</v>
      </c>
    </row>
    <row r="776" spans="2:7" outlineLevel="4" x14ac:dyDescent="0.3">
      <c r="B776" s="28" t="s">
        <v>1546</v>
      </c>
      <c r="C776" s="28" t="s">
        <v>702</v>
      </c>
      <c r="D776" s="28">
        <v>3</v>
      </c>
      <c r="E776" s="28" t="s">
        <v>3</v>
      </c>
      <c r="F776" s="28"/>
      <c r="G776" s="28">
        <f t="shared" si="39"/>
        <v>0</v>
      </c>
    </row>
    <row r="777" spans="2:7" outlineLevel="4" x14ac:dyDescent="0.3">
      <c r="B777" s="28" t="s">
        <v>1547</v>
      </c>
      <c r="C777" s="28" t="s">
        <v>662</v>
      </c>
      <c r="D777" s="28">
        <f>0.5*58</f>
        <v>29</v>
      </c>
      <c r="E777" s="28" t="s">
        <v>3</v>
      </c>
      <c r="F777" s="28"/>
      <c r="G777" s="28">
        <f t="shared" si="39"/>
        <v>0</v>
      </c>
    </row>
    <row r="778" spans="2:7" outlineLevel="4" x14ac:dyDescent="0.3">
      <c r="B778" s="28" t="s">
        <v>1548</v>
      </c>
      <c r="C778" s="28" t="s">
        <v>703</v>
      </c>
      <c r="D778" s="28">
        <v>3</v>
      </c>
      <c r="E778" s="28" t="s">
        <v>3</v>
      </c>
      <c r="F778" s="28"/>
      <c r="G778" s="28">
        <f t="shared" si="39"/>
        <v>0</v>
      </c>
    </row>
    <row r="779" spans="2:7" outlineLevel="4" x14ac:dyDescent="0.3">
      <c r="B779" s="28" t="s">
        <v>1549</v>
      </c>
      <c r="C779" s="28" t="s">
        <v>664</v>
      </c>
      <c r="D779" s="28">
        <f>0.5*20</f>
        <v>10</v>
      </c>
      <c r="E779" s="28" t="s">
        <v>3</v>
      </c>
      <c r="F779" s="28"/>
      <c r="G779" s="28">
        <f t="shared" si="39"/>
        <v>0</v>
      </c>
    </row>
    <row r="780" spans="2:7" outlineLevel="4" x14ac:dyDescent="0.3">
      <c r="B780" s="28" t="s">
        <v>1550</v>
      </c>
      <c r="C780" s="28" t="s">
        <v>665</v>
      </c>
      <c r="D780" s="28">
        <f>0.5*20</f>
        <v>10</v>
      </c>
      <c r="E780" s="28" t="s">
        <v>3</v>
      </c>
      <c r="F780" s="28"/>
      <c r="G780" s="28">
        <f t="shared" si="39"/>
        <v>0</v>
      </c>
    </row>
    <row r="781" spans="2:7" outlineLevel="4" x14ac:dyDescent="0.3">
      <c r="B781" s="28" t="s">
        <v>1551</v>
      </c>
      <c r="C781" s="28" t="s">
        <v>666</v>
      </c>
      <c r="D781" s="28">
        <f>0.5*10</f>
        <v>5</v>
      </c>
      <c r="E781" s="28" t="s">
        <v>3</v>
      </c>
      <c r="F781" s="28"/>
      <c r="G781" s="28">
        <f t="shared" si="39"/>
        <v>0</v>
      </c>
    </row>
    <row r="782" spans="2:7" outlineLevel="4" x14ac:dyDescent="0.3">
      <c r="B782" s="28" t="s">
        <v>1552</v>
      </c>
      <c r="C782" s="28" t="s">
        <v>669</v>
      </c>
      <c r="D782" s="28">
        <f>0.5*48</f>
        <v>24</v>
      </c>
      <c r="E782" s="28" t="s">
        <v>3</v>
      </c>
      <c r="F782" s="28"/>
      <c r="G782" s="28">
        <f t="shared" si="39"/>
        <v>0</v>
      </c>
    </row>
    <row r="783" spans="2:7" outlineLevel="4" x14ac:dyDescent="0.3">
      <c r="B783" s="28" t="s">
        <v>1553</v>
      </c>
      <c r="C783" s="28" t="s">
        <v>704</v>
      </c>
      <c r="D783" s="28">
        <v>25</v>
      </c>
      <c r="E783" s="28" t="s">
        <v>28</v>
      </c>
      <c r="F783" s="28"/>
      <c r="G783" s="28">
        <f t="shared" si="39"/>
        <v>0</v>
      </c>
    </row>
    <row r="784" spans="2:7" outlineLevel="3" x14ac:dyDescent="0.3">
      <c r="B784" s="21" t="s">
        <v>1078</v>
      </c>
      <c r="C784" s="22" t="s">
        <v>706</v>
      </c>
      <c r="D784" s="23"/>
      <c r="E784" s="24"/>
      <c r="F784" s="25"/>
      <c r="G784" s="26">
        <f>+SUBTOTAL(9,G785:G832)</f>
        <v>0</v>
      </c>
    </row>
    <row r="785" spans="2:7" outlineLevel="4" x14ac:dyDescent="0.3">
      <c r="B785" s="28" t="s">
        <v>1554</v>
      </c>
      <c r="C785" s="28" t="s">
        <v>710</v>
      </c>
      <c r="D785" s="28">
        <v>20</v>
      </c>
      <c r="E785" s="28" t="s">
        <v>3</v>
      </c>
      <c r="F785" s="28"/>
      <c r="G785" s="28">
        <f t="shared" ref="G785:G832" si="40">ROUNDUP(D785*F785,2)</f>
        <v>0</v>
      </c>
    </row>
    <row r="786" spans="2:7" outlineLevel="4" x14ac:dyDescent="0.3">
      <c r="B786" s="28" t="s">
        <v>1555</v>
      </c>
      <c r="C786" s="28" t="s">
        <v>711</v>
      </c>
      <c r="D786" s="28">
        <v>12</v>
      </c>
      <c r="E786" s="28" t="s">
        <v>3</v>
      </c>
      <c r="F786" s="28"/>
      <c r="G786" s="28">
        <f t="shared" si="40"/>
        <v>0</v>
      </c>
    </row>
    <row r="787" spans="2:7" outlineLevel="4" x14ac:dyDescent="0.3">
      <c r="B787" s="28" t="s">
        <v>1556</v>
      </c>
      <c r="C787" s="28" t="s">
        <v>712</v>
      </c>
      <c r="D787" s="28">
        <f>0.5*34</f>
        <v>17</v>
      </c>
      <c r="E787" s="28" t="s">
        <v>3</v>
      </c>
      <c r="F787" s="28"/>
      <c r="G787" s="28">
        <f t="shared" si="40"/>
        <v>0</v>
      </c>
    </row>
    <row r="788" spans="2:7" outlineLevel="4" x14ac:dyDescent="0.3">
      <c r="B788" s="28" t="s">
        <v>1557</v>
      </c>
      <c r="C788" s="28" t="s">
        <v>713</v>
      </c>
      <c r="D788" s="28">
        <v>4</v>
      </c>
      <c r="E788" s="28" t="s">
        <v>3</v>
      </c>
      <c r="F788" s="28"/>
      <c r="G788" s="28">
        <f t="shared" si="40"/>
        <v>0</v>
      </c>
    </row>
    <row r="789" spans="2:7" outlineLevel="4" x14ac:dyDescent="0.3">
      <c r="B789" s="28" t="s">
        <v>1558</v>
      </c>
      <c r="C789" s="28" t="s">
        <v>714</v>
      </c>
      <c r="D789" s="28">
        <v>4</v>
      </c>
      <c r="E789" s="28" t="s">
        <v>3</v>
      </c>
      <c r="F789" s="28"/>
      <c r="G789" s="28">
        <f t="shared" si="40"/>
        <v>0</v>
      </c>
    </row>
    <row r="790" spans="2:7" outlineLevel="4" x14ac:dyDescent="0.3">
      <c r="B790" s="28" t="s">
        <v>1559</v>
      </c>
      <c r="C790" s="28" t="s">
        <v>715</v>
      </c>
      <c r="D790" s="28">
        <v>12</v>
      </c>
      <c r="E790" s="28" t="s">
        <v>3</v>
      </c>
      <c r="F790" s="28"/>
      <c r="G790" s="28">
        <f t="shared" si="40"/>
        <v>0</v>
      </c>
    </row>
    <row r="791" spans="2:7" outlineLevel="4" x14ac:dyDescent="0.3">
      <c r="B791" s="28" t="s">
        <v>1560</v>
      </c>
      <c r="C791" s="28" t="s">
        <v>716</v>
      </c>
      <c r="D791" s="28">
        <v>4</v>
      </c>
      <c r="E791" s="28" t="s">
        <v>3</v>
      </c>
      <c r="F791" s="28"/>
      <c r="G791" s="28">
        <f t="shared" si="40"/>
        <v>0</v>
      </c>
    </row>
    <row r="792" spans="2:7" outlineLevel="4" x14ac:dyDescent="0.3">
      <c r="B792" s="28" t="s">
        <v>1561</v>
      </c>
      <c r="C792" s="28" t="s">
        <v>717</v>
      </c>
      <c r="D792" s="28">
        <v>4</v>
      </c>
      <c r="E792" s="28" t="s">
        <v>3</v>
      </c>
      <c r="F792" s="28"/>
      <c r="G792" s="28">
        <f t="shared" si="40"/>
        <v>0</v>
      </c>
    </row>
    <row r="793" spans="2:7" outlineLevel="4" x14ac:dyDescent="0.3">
      <c r="B793" s="28" t="s">
        <v>1562</v>
      </c>
      <c r="C793" s="28" t="s">
        <v>718</v>
      </c>
      <c r="D793" s="28">
        <v>12</v>
      </c>
      <c r="E793" s="28" t="s">
        <v>3</v>
      </c>
      <c r="F793" s="28"/>
      <c r="G793" s="28">
        <f t="shared" si="40"/>
        <v>0</v>
      </c>
    </row>
    <row r="794" spans="2:7" outlineLevel="4" x14ac:dyDescent="0.3">
      <c r="B794" s="28" t="s">
        <v>1563</v>
      </c>
      <c r="C794" s="28" t="s">
        <v>719</v>
      </c>
      <c r="D794" s="28">
        <v>4</v>
      </c>
      <c r="E794" s="28" t="s">
        <v>3</v>
      </c>
      <c r="F794" s="28"/>
      <c r="G794" s="28">
        <f t="shared" si="40"/>
        <v>0</v>
      </c>
    </row>
    <row r="795" spans="2:7" outlineLevel="4" x14ac:dyDescent="0.3">
      <c r="B795" s="28" t="s">
        <v>1564</v>
      </c>
      <c r="C795" s="28" t="s">
        <v>720</v>
      </c>
      <c r="D795" s="28">
        <v>4</v>
      </c>
      <c r="E795" s="28" t="s">
        <v>3</v>
      </c>
      <c r="F795" s="28"/>
      <c r="G795" s="28">
        <f t="shared" si="40"/>
        <v>0</v>
      </c>
    </row>
    <row r="796" spans="2:7" outlineLevel="4" x14ac:dyDescent="0.3">
      <c r="B796" s="28" t="s">
        <v>1565</v>
      </c>
      <c r="C796" s="28" t="s">
        <v>721</v>
      </c>
      <c r="D796" s="28">
        <v>12</v>
      </c>
      <c r="E796" s="28" t="s">
        <v>3</v>
      </c>
      <c r="F796" s="28"/>
      <c r="G796" s="28">
        <f t="shared" si="40"/>
        <v>0</v>
      </c>
    </row>
    <row r="797" spans="2:7" outlineLevel="4" x14ac:dyDescent="0.3">
      <c r="B797" s="28" t="s">
        <v>1566</v>
      </c>
      <c r="C797" s="28" t="s">
        <v>722</v>
      </c>
      <c r="D797" s="28">
        <f>0.3*1</f>
        <v>0.3</v>
      </c>
      <c r="E797" s="28" t="s">
        <v>3</v>
      </c>
      <c r="F797" s="28"/>
      <c r="G797" s="28">
        <f t="shared" si="40"/>
        <v>0</v>
      </c>
    </row>
    <row r="798" spans="2:7" outlineLevel="4" x14ac:dyDescent="0.3">
      <c r="B798" s="28" t="s">
        <v>1567</v>
      </c>
      <c r="C798" s="28" t="s">
        <v>723</v>
      </c>
      <c r="D798" s="28">
        <f>0.3*4</f>
        <v>1.2</v>
      </c>
      <c r="E798" s="28" t="s">
        <v>3</v>
      </c>
      <c r="F798" s="28"/>
      <c r="G798" s="28">
        <f t="shared" si="40"/>
        <v>0</v>
      </c>
    </row>
    <row r="799" spans="2:7" outlineLevel="4" x14ac:dyDescent="0.3">
      <c r="B799" s="28" t="s">
        <v>1568</v>
      </c>
      <c r="C799" s="28" t="s">
        <v>724</v>
      </c>
      <c r="D799" s="28">
        <v>4</v>
      </c>
      <c r="E799" s="28" t="s">
        <v>3</v>
      </c>
      <c r="F799" s="28"/>
      <c r="G799" s="28">
        <f t="shared" si="40"/>
        <v>0</v>
      </c>
    </row>
    <row r="800" spans="2:7" outlineLevel="4" x14ac:dyDescent="0.3">
      <c r="B800" s="28" t="s">
        <v>1569</v>
      </c>
      <c r="C800" s="28" t="s">
        <v>725</v>
      </c>
      <c r="D800" s="28">
        <v>8</v>
      </c>
      <c r="E800" s="28" t="s">
        <v>3</v>
      </c>
      <c r="F800" s="28"/>
      <c r="G800" s="28">
        <f t="shared" si="40"/>
        <v>0</v>
      </c>
    </row>
    <row r="801" spans="2:7" outlineLevel="4" x14ac:dyDescent="0.3">
      <c r="B801" s="28" t="s">
        <v>1570</v>
      </c>
      <c r="C801" s="28" t="s">
        <v>727</v>
      </c>
      <c r="D801" s="28">
        <v>1</v>
      </c>
      <c r="E801" s="28" t="s">
        <v>3</v>
      </c>
      <c r="F801" s="28"/>
      <c r="G801" s="28">
        <f t="shared" si="40"/>
        <v>0</v>
      </c>
    </row>
    <row r="802" spans="2:7" outlineLevel="4" x14ac:dyDescent="0.3">
      <c r="B802" s="28" t="s">
        <v>1571</v>
      </c>
      <c r="C802" s="28" t="s">
        <v>728</v>
      </c>
      <c r="D802" s="28">
        <v>4</v>
      </c>
      <c r="E802" s="28" t="s">
        <v>3</v>
      </c>
      <c r="F802" s="28"/>
      <c r="G802" s="28">
        <f t="shared" si="40"/>
        <v>0</v>
      </c>
    </row>
    <row r="803" spans="2:7" outlineLevel="4" x14ac:dyDescent="0.3">
      <c r="B803" s="28" t="s">
        <v>1572</v>
      </c>
      <c r="C803" s="28" t="s">
        <v>729</v>
      </c>
      <c r="D803" s="28">
        <v>4</v>
      </c>
      <c r="E803" s="28" t="s">
        <v>3</v>
      </c>
      <c r="F803" s="28"/>
      <c r="G803" s="28">
        <f t="shared" si="40"/>
        <v>0</v>
      </c>
    </row>
    <row r="804" spans="2:7" outlineLevel="4" x14ac:dyDescent="0.3">
      <c r="B804" s="28" t="s">
        <v>1573</v>
      </c>
      <c r="C804" s="28" t="s">
        <v>732</v>
      </c>
      <c r="D804" s="28">
        <v>2</v>
      </c>
      <c r="E804" s="28" t="s">
        <v>3</v>
      </c>
      <c r="F804" s="28"/>
      <c r="G804" s="28">
        <f t="shared" si="40"/>
        <v>0</v>
      </c>
    </row>
    <row r="805" spans="2:7" outlineLevel="4" x14ac:dyDescent="0.3">
      <c r="B805" s="28" t="s">
        <v>1574</v>
      </c>
      <c r="C805" s="28" t="s">
        <v>733</v>
      </c>
      <c r="D805" s="28">
        <v>4</v>
      </c>
      <c r="E805" s="28" t="s">
        <v>3</v>
      </c>
      <c r="F805" s="28"/>
      <c r="G805" s="28">
        <f t="shared" si="40"/>
        <v>0</v>
      </c>
    </row>
    <row r="806" spans="2:7" outlineLevel="4" x14ac:dyDescent="0.3">
      <c r="B806" s="28" t="s">
        <v>1575</v>
      </c>
      <c r="C806" s="28" t="s">
        <v>734</v>
      </c>
      <c r="D806" s="28">
        <v>4</v>
      </c>
      <c r="E806" s="28" t="s">
        <v>3</v>
      </c>
      <c r="F806" s="28"/>
      <c r="G806" s="28">
        <f t="shared" si="40"/>
        <v>0</v>
      </c>
    </row>
    <row r="807" spans="2:7" outlineLevel="4" x14ac:dyDescent="0.3">
      <c r="B807" s="28" t="s">
        <v>1576</v>
      </c>
      <c r="C807" s="28" t="s">
        <v>735</v>
      </c>
      <c r="D807" s="28">
        <v>8</v>
      </c>
      <c r="E807" s="28" t="s">
        <v>3</v>
      </c>
      <c r="F807" s="28"/>
      <c r="G807" s="28">
        <f t="shared" si="40"/>
        <v>0</v>
      </c>
    </row>
    <row r="808" spans="2:7" outlineLevel="4" x14ac:dyDescent="0.3">
      <c r="B808" s="28" t="s">
        <v>1577</v>
      </c>
      <c r="C808" s="28" t="s">
        <v>737</v>
      </c>
      <c r="D808" s="28">
        <f>0.5*4</f>
        <v>2</v>
      </c>
      <c r="E808" s="28" t="s">
        <v>3</v>
      </c>
      <c r="F808" s="28"/>
      <c r="G808" s="28">
        <f t="shared" si="40"/>
        <v>0</v>
      </c>
    </row>
    <row r="809" spans="2:7" outlineLevel="4" x14ac:dyDescent="0.3">
      <c r="B809" s="28" t="s">
        <v>1578</v>
      </c>
      <c r="C809" s="28" t="s">
        <v>738</v>
      </c>
      <c r="D809" s="28">
        <v>1</v>
      </c>
      <c r="E809" s="28" t="s">
        <v>3</v>
      </c>
      <c r="F809" s="28"/>
      <c r="G809" s="28">
        <f t="shared" si="40"/>
        <v>0</v>
      </c>
    </row>
    <row r="810" spans="2:7" outlineLevel="4" x14ac:dyDescent="0.3">
      <c r="B810" s="28" t="s">
        <v>1579</v>
      </c>
      <c r="C810" s="28" t="s">
        <v>739</v>
      </c>
      <c r="D810" s="28">
        <v>4</v>
      </c>
      <c r="E810" s="28" t="s">
        <v>3</v>
      </c>
      <c r="F810" s="28"/>
      <c r="G810" s="28">
        <f t="shared" si="40"/>
        <v>0</v>
      </c>
    </row>
    <row r="811" spans="2:7" outlineLevel="4" x14ac:dyDescent="0.3">
      <c r="B811" s="28" t="s">
        <v>1580</v>
      </c>
      <c r="C811" s="28" t="s">
        <v>740</v>
      </c>
      <c r="D811" s="28">
        <v>4</v>
      </c>
      <c r="E811" s="28" t="s">
        <v>3</v>
      </c>
      <c r="F811" s="28"/>
      <c r="G811" s="28">
        <f t="shared" si="40"/>
        <v>0</v>
      </c>
    </row>
    <row r="812" spans="2:7" outlineLevel="4" x14ac:dyDescent="0.3">
      <c r="B812" s="28" t="s">
        <v>1581</v>
      </c>
      <c r="C812" s="28" t="s">
        <v>741</v>
      </c>
      <c r="D812" s="28">
        <v>1</v>
      </c>
      <c r="E812" s="28" t="s">
        <v>3</v>
      </c>
      <c r="F812" s="28"/>
      <c r="G812" s="28">
        <f t="shared" si="40"/>
        <v>0</v>
      </c>
    </row>
    <row r="813" spans="2:7" outlineLevel="4" x14ac:dyDescent="0.3">
      <c r="B813" s="28" t="s">
        <v>1582</v>
      </c>
      <c r="C813" s="28" t="s">
        <v>742</v>
      </c>
      <c r="D813" s="28">
        <v>1</v>
      </c>
      <c r="E813" s="28" t="s">
        <v>3</v>
      </c>
      <c r="F813" s="28"/>
      <c r="G813" s="28">
        <f t="shared" si="40"/>
        <v>0</v>
      </c>
    </row>
    <row r="814" spans="2:7" outlineLevel="4" x14ac:dyDescent="0.3">
      <c r="B814" s="28" t="s">
        <v>1583</v>
      </c>
      <c r="C814" s="28" t="s">
        <v>743</v>
      </c>
      <c r="D814" s="28">
        <v>4</v>
      </c>
      <c r="E814" s="28" t="s">
        <v>3</v>
      </c>
      <c r="F814" s="28"/>
      <c r="G814" s="28">
        <f t="shared" si="40"/>
        <v>0</v>
      </c>
    </row>
    <row r="815" spans="2:7" outlineLevel="4" x14ac:dyDescent="0.3">
      <c r="B815" s="28" t="s">
        <v>1584</v>
      </c>
      <c r="C815" s="28" t="s">
        <v>744</v>
      </c>
      <c r="D815" s="28">
        <v>4</v>
      </c>
      <c r="E815" s="28" t="s">
        <v>3</v>
      </c>
      <c r="F815" s="28"/>
      <c r="G815" s="28">
        <f t="shared" si="40"/>
        <v>0</v>
      </c>
    </row>
    <row r="816" spans="2:7" outlineLevel="4" x14ac:dyDescent="0.3">
      <c r="B816" s="28" t="s">
        <v>1585</v>
      </c>
      <c r="C816" s="28" t="s">
        <v>745</v>
      </c>
      <c r="D816" s="28">
        <v>4</v>
      </c>
      <c r="E816" s="28" t="s">
        <v>3</v>
      </c>
      <c r="F816" s="28"/>
      <c r="G816" s="28">
        <f t="shared" si="40"/>
        <v>0</v>
      </c>
    </row>
    <row r="817" spans="2:8" outlineLevel="4" x14ac:dyDescent="0.3">
      <c r="B817" s="28" t="s">
        <v>1586</v>
      </c>
      <c r="C817" s="28" t="s">
        <v>749</v>
      </c>
      <c r="D817" s="28">
        <v>10</v>
      </c>
      <c r="E817" s="28" t="s">
        <v>3</v>
      </c>
      <c r="F817" s="28"/>
      <c r="G817" s="28">
        <f t="shared" si="40"/>
        <v>0</v>
      </c>
    </row>
    <row r="818" spans="2:8" outlineLevel="4" x14ac:dyDescent="0.3">
      <c r="B818" s="28" t="s">
        <v>1587</v>
      </c>
      <c r="C818" s="28" t="s">
        <v>750</v>
      </c>
      <c r="D818" s="28">
        <v>4</v>
      </c>
      <c r="E818" s="28" t="s">
        <v>3</v>
      </c>
      <c r="F818" s="28"/>
      <c r="G818" s="28">
        <f t="shared" si="40"/>
        <v>0</v>
      </c>
    </row>
    <row r="819" spans="2:8" outlineLevel="4" x14ac:dyDescent="0.3">
      <c r="B819" s="28" t="s">
        <v>1588</v>
      </c>
      <c r="C819" s="28" t="s">
        <v>755</v>
      </c>
      <c r="D819" s="28">
        <v>10</v>
      </c>
      <c r="E819" s="28" t="s">
        <v>3</v>
      </c>
      <c r="F819" s="28"/>
      <c r="G819" s="28">
        <f t="shared" si="40"/>
        <v>0</v>
      </c>
    </row>
    <row r="820" spans="2:8" outlineLevel="4" x14ac:dyDescent="0.3">
      <c r="B820" s="28" t="s">
        <v>1589</v>
      </c>
      <c r="C820" s="28" t="s">
        <v>756</v>
      </c>
      <c r="D820" s="28">
        <v>4</v>
      </c>
      <c r="E820" s="28" t="s">
        <v>3</v>
      </c>
      <c r="F820" s="28"/>
      <c r="G820" s="28">
        <f t="shared" si="40"/>
        <v>0</v>
      </c>
    </row>
    <row r="821" spans="2:8" outlineLevel="4" x14ac:dyDescent="0.3">
      <c r="B821" s="28" t="s">
        <v>1590</v>
      </c>
      <c r="C821" s="28" t="s">
        <v>757</v>
      </c>
      <c r="D821" s="28">
        <v>10</v>
      </c>
      <c r="E821" s="28" t="s">
        <v>3</v>
      </c>
      <c r="F821" s="28"/>
      <c r="G821" s="28">
        <f t="shared" si="40"/>
        <v>0</v>
      </c>
    </row>
    <row r="822" spans="2:8" outlineLevel="4" x14ac:dyDescent="0.3">
      <c r="B822" s="28" t="s">
        <v>1591</v>
      </c>
      <c r="C822" s="28" t="s">
        <v>758</v>
      </c>
      <c r="D822" s="28">
        <v>1</v>
      </c>
      <c r="E822" s="28" t="s">
        <v>3</v>
      </c>
      <c r="F822" s="28"/>
      <c r="G822" s="28">
        <f t="shared" si="40"/>
        <v>0</v>
      </c>
    </row>
    <row r="823" spans="2:8" outlineLevel="4" x14ac:dyDescent="0.3">
      <c r="B823" s="28" t="s">
        <v>1592</v>
      </c>
      <c r="C823" s="28" t="s">
        <v>759</v>
      </c>
      <c r="D823" s="28">
        <v>1</v>
      </c>
      <c r="E823" s="28" t="s">
        <v>3</v>
      </c>
      <c r="F823" s="28"/>
      <c r="G823" s="28">
        <f t="shared" si="40"/>
        <v>0</v>
      </c>
    </row>
    <row r="824" spans="2:8" outlineLevel="4" x14ac:dyDescent="0.3">
      <c r="B824" s="28" t="s">
        <v>1593</v>
      </c>
      <c r="C824" s="28" t="s">
        <v>760</v>
      </c>
      <c r="D824" s="28">
        <v>1</v>
      </c>
      <c r="E824" s="28" t="s">
        <v>3</v>
      </c>
      <c r="F824" s="28"/>
      <c r="G824" s="28">
        <f t="shared" si="40"/>
        <v>0</v>
      </c>
    </row>
    <row r="825" spans="2:8" outlineLevel="4" x14ac:dyDescent="0.3">
      <c r="B825" s="28" t="s">
        <v>1594</v>
      </c>
      <c r="C825" s="28" t="s">
        <v>761</v>
      </c>
      <c r="D825" s="28">
        <v>1</v>
      </c>
      <c r="E825" s="28" t="s">
        <v>3</v>
      </c>
      <c r="F825" s="28"/>
      <c r="G825" s="28">
        <f t="shared" si="40"/>
        <v>0</v>
      </c>
    </row>
    <row r="826" spans="2:8" outlineLevel="4" x14ac:dyDescent="0.3">
      <c r="B826" s="28" t="s">
        <v>1595</v>
      </c>
      <c r="C826" s="28" t="s">
        <v>762</v>
      </c>
      <c r="D826" s="28">
        <v>1</v>
      </c>
      <c r="E826" s="28" t="s">
        <v>3</v>
      </c>
      <c r="F826" s="28"/>
      <c r="G826" s="28">
        <f t="shared" si="40"/>
        <v>0</v>
      </c>
    </row>
    <row r="827" spans="2:8" outlineLevel="4" x14ac:dyDescent="0.3">
      <c r="B827" s="28" t="s">
        <v>1596</v>
      </c>
      <c r="C827" s="28" t="s">
        <v>763</v>
      </c>
      <c r="D827" s="28">
        <v>1</v>
      </c>
      <c r="E827" s="28" t="s">
        <v>3</v>
      </c>
      <c r="F827" s="28"/>
      <c r="G827" s="28">
        <f t="shared" si="40"/>
        <v>0</v>
      </c>
    </row>
    <row r="828" spans="2:8" outlineLevel="4" x14ac:dyDescent="0.3">
      <c r="B828" s="28" t="s">
        <v>1597</v>
      </c>
      <c r="C828" s="28" t="s">
        <v>764</v>
      </c>
      <c r="D828" s="28">
        <f>0.5*4</f>
        <v>2</v>
      </c>
      <c r="E828" s="28" t="s">
        <v>3</v>
      </c>
      <c r="F828" s="28"/>
      <c r="G828" s="28">
        <f t="shared" si="40"/>
        <v>0</v>
      </c>
    </row>
    <row r="829" spans="2:8" outlineLevel="4" x14ac:dyDescent="0.3">
      <c r="B829" s="28" t="s">
        <v>1598</v>
      </c>
      <c r="C829" s="28" t="s">
        <v>765</v>
      </c>
      <c r="D829" s="28">
        <f>0.5*80</f>
        <v>40</v>
      </c>
      <c r="E829" s="28" t="s">
        <v>766</v>
      </c>
      <c r="F829" s="28"/>
      <c r="G829" s="28">
        <f t="shared" si="40"/>
        <v>0</v>
      </c>
    </row>
    <row r="830" spans="2:8" outlineLevel="4" x14ac:dyDescent="0.3">
      <c r="B830" s="28" t="s">
        <v>1599</v>
      </c>
      <c r="C830" s="28" t="s">
        <v>670</v>
      </c>
      <c r="D830" s="28">
        <v>24</v>
      </c>
      <c r="E830" s="28" t="s">
        <v>3</v>
      </c>
      <c r="F830" s="28"/>
      <c r="G830" s="28">
        <f t="shared" si="40"/>
        <v>0</v>
      </c>
      <c r="H830" s="122"/>
    </row>
    <row r="831" spans="2:8" outlineLevel="4" x14ac:dyDescent="0.3">
      <c r="B831" s="28" t="s">
        <v>1600</v>
      </c>
      <c r="C831" s="28" t="s">
        <v>767</v>
      </c>
      <c r="D831" s="28">
        <v>24</v>
      </c>
      <c r="E831" s="28" t="s">
        <v>3</v>
      </c>
      <c r="F831" s="28"/>
      <c r="G831" s="28">
        <f t="shared" si="40"/>
        <v>0</v>
      </c>
      <c r="H831" s="122"/>
    </row>
    <row r="832" spans="2:8" outlineLevel="4" x14ac:dyDescent="0.3">
      <c r="B832" s="28" t="s">
        <v>1601</v>
      </c>
      <c r="C832" s="28" t="s">
        <v>672</v>
      </c>
      <c r="D832" s="28">
        <v>24</v>
      </c>
      <c r="E832" s="28" t="s">
        <v>3</v>
      </c>
      <c r="F832" s="28"/>
      <c r="G832" s="28">
        <f t="shared" si="40"/>
        <v>0</v>
      </c>
      <c r="H832" s="122"/>
    </row>
    <row r="833" spans="2:7" outlineLevel="3" x14ac:dyDescent="0.3">
      <c r="B833" s="21" t="s">
        <v>1079</v>
      </c>
      <c r="C833" s="22" t="s">
        <v>769</v>
      </c>
      <c r="D833" s="23"/>
      <c r="E833" s="24"/>
      <c r="F833" s="25"/>
      <c r="G833" s="26">
        <f>+SUBTOTAL(9,G834:G897)</f>
        <v>0</v>
      </c>
    </row>
    <row r="834" spans="2:7" outlineLevel="4" x14ac:dyDescent="0.3">
      <c r="B834" s="28" t="s">
        <v>1602</v>
      </c>
      <c r="C834" s="28" t="s">
        <v>708</v>
      </c>
      <c r="D834" s="28">
        <v>20</v>
      </c>
      <c r="E834" s="28" t="s">
        <v>3</v>
      </c>
      <c r="F834" s="28"/>
      <c r="G834" s="28">
        <f t="shared" ref="G834:G897" si="41">ROUNDUP(D834*F834,2)</f>
        <v>0</v>
      </c>
    </row>
    <row r="835" spans="2:7" outlineLevel="4" x14ac:dyDescent="0.3">
      <c r="B835" s="28" t="s">
        <v>1603</v>
      </c>
      <c r="C835" s="28" t="s">
        <v>709</v>
      </c>
      <c r="D835" s="28">
        <v>10</v>
      </c>
      <c r="E835" s="28" t="s">
        <v>3</v>
      </c>
      <c r="F835" s="28"/>
      <c r="G835" s="28">
        <f t="shared" si="41"/>
        <v>0</v>
      </c>
    </row>
    <row r="836" spans="2:7" outlineLevel="4" x14ac:dyDescent="0.3">
      <c r="B836" s="28" t="s">
        <v>1604</v>
      </c>
      <c r="C836" s="28" t="s">
        <v>710</v>
      </c>
      <c r="D836" s="28">
        <v>72</v>
      </c>
      <c r="E836" s="28" t="s">
        <v>3</v>
      </c>
      <c r="F836" s="28"/>
      <c r="G836" s="28">
        <f t="shared" si="41"/>
        <v>0</v>
      </c>
    </row>
    <row r="837" spans="2:7" outlineLevel="4" x14ac:dyDescent="0.3">
      <c r="B837" s="28" t="s">
        <v>1605</v>
      </c>
      <c r="C837" s="28" t="s">
        <v>711</v>
      </c>
      <c r="D837" s="28">
        <v>20</v>
      </c>
      <c r="E837" s="28" t="s">
        <v>3</v>
      </c>
      <c r="F837" s="28"/>
      <c r="G837" s="28">
        <f t="shared" si="41"/>
        <v>0</v>
      </c>
    </row>
    <row r="838" spans="2:7" outlineLevel="4" x14ac:dyDescent="0.3">
      <c r="B838" s="28" t="s">
        <v>1606</v>
      </c>
      <c r="C838" s="28" t="s">
        <v>712</v>
      </c>
      <c r="D838" s="28">
        <v>145</v>
      </c>
      <c r="E838" s="28" t="s">
        <v>3</v>
      </c>
      <c r="F838" s="28"/>
      <c r="G838" s="28">
        <f t="shared" si="41"/>
        <v>0</v>
      </c>
    </row>
    <row r="839" spans="2:7" outlineLevel="4" x14ac:dyDescent="0.3">
      <c r="B839" s="28" t="s">
        <v>1607</v>
      </c>
      <c r="C839" s="28" t="s">
        <v>713</v>
      </c>
      <c r="D839" s="28">
        <v>32</v>
      </c>
      <c r="E839" s="28" t="s">
        <v>3</v>
      </c>
      <c r="F839" s="28"/>
      <c r="G839" s="28">
        <f t="shared" si="41"/>
        <v>0</v>
      </c>
    </row>
    <row r="840" spans="2:7" outlineLevel="4" x14ac:dyDescent="0.3">
      <c r="B840" s="28" t="s">
        <v>1608</v>
      </c>
      <c r="C840" s="28" t="s">
        <v>714</v>
      </c>
      <c r="D840" s="28">
        <v>7</v>
      </c>
      <c r="E840" s="28" t="s">
        <v>3</v>
      </c>
      <c r="F840" s="28"/>
      <c r="G840" s="28">
        <f t="shared" si="41"/>
        <v>0</v>
      </c>
    </row>
    <row r="841" spans="2:7" outlineLevel="4" x14ac:dyDescent="0.3">
      <c r="B841" s="28" t="s">
        <v>1609</v>
      </c>
      <c r="C841" s="28" t="s">
        <v>715</v>
      </c>
      <c r="D841" s="28">
        <v>60</v>
      </c>
      <c r="E841" s="28" t="s">
        <v>3</v>
      </c>
      <c r="F841" s="28"/>
      <c r="G841" s="28">
        <f t="shared" si="41"/>
        <v>0</v>
      </c>
    </row>
    <row r="842" spans="2:7" outlineLevel="4" x14ac:dyDescent="0.3">
      <c r="B842" s="28" t="s">
        <v>1610</v>
      </c>
      <c r="C842" s="28" t="s">
        <v>716</v>
      </c>
      <c r="D842" s="28">
        <v>32</v>
      </c>
      <c r="E842" s="28" t="s">
        <v>3</v>
      </c>
      <c r="F842" s="28"/>
      <c r="G842" s="28">
        <f t="shared" si="41"/>
        <v>0</v>
      </c>
    </row>
    <row r="843" spans="2:7" outlineLevel="4" x14ac:dyDescent="0.3">
      <c r="B843" s="28" t="s">
        <v>1611</v>
      </c>
      <c r="C843" s="28" t="s">
        <v>717</v>
      </c>
      <c r="D843" s="28">
        <v>7</v>
      </c>
      <c r="E843" s="28" t="s">
        <v>3</v>
      </c>
      <c r="F843" s="28"/>
      <c r="G843" s="28">
        <f t="shared" si="41"/>
        <v>0</v>
      </c>
    </row>
    <row r="844" spans="2:7" outlineLevel="4" x14ac:dyDescent="0.3">
      <c r="B844" s="28" t="s">
        <v>1612</v>
      </c>
      <c r="C844" s="28" t="s">
        <v>718</v>
      </c>
      <c r="D844" s="28">
        <v>60</v>
      </c>
      <c r="E844" s="28" t="s">
        <v>3</v>
      </c>
      <c r="F844" s="28"/>
      <c r="G844" s="28">
        <f t="shared" si="41"/>
        <v>0</v>
      </c>
    </row>
    <row r="845" spans="2:7" outlineLevel="4" x14ac:dyDescent="0.3">
      <c r="B845" s="28" t="s">
        <v>1613</v>
      </c>
      <c r="C845" s="28" t="s">
        <v>719</v>
      </c>
      <c r="D845" s="28">
        <v>32</v>
      </c>
      <c r="E845" s="28" t="s">
        <v>3</v>
      </c>
      <c r="F845" s="28"/>
      <c r="G845" s="28">
        <f t="shared" si="41"/>
        <v>0</v>
      </c>
    </row>
    <row r="846" spans="2:7" outlineLevel="4" x14ac:dyDescent="0.3">
      <c r="B846" s="28" t="s">
        <v>1614</v>
      </c>
      <c r="C846" s="28" t="s">
        <v>720</v>
      </c>
      <c r="D846" s="28">
        <v>7</v>
      </c>
      <c r="E846" s="28" t="s">
        <v>3</v>
      </c>
      <c r="F846" s="28"/>
      <c r="G846" s="28">
        <f t="shared" si="41"/>
        <v>0</v>
      </c>
    </row>
    <row r="847" spans="2:7" outlineLevel="4" x14ac:dyDescent="0.3">
      <c r="B847" s="28" t="s">
        <v>1615</v>
      </c>
      <c r="C847" s="28" t="s">
        <v>721</v>
      </c>
      <c r="D847" s="28">
        <v>60</v>
      </c>
      <c r="E847" s="28" t="s">
        <v>3</v>
      </c>
      <c r="F847" s="28"/>
      <c r="G847" s="28">
        <f t="shared" si="41"/>
        <v>0</v>
      </c>
    </row>
    <row r="848" spans="2:7" outlineLevel="4" x14ac:dyDescent="0.3">
      <c r="B848" s="28" t="s">
        <v>1616</v>
      </c>
      <c r="C848" s="28" t="s">
        <v>722</v>
      </c>
      <c r="D848" s="28">
        <v>10</v>
      </c>
      <c r="E848" s="28" t="s">
        <v>3</v>
      </c>
      <c r="F848" s="28"/>
      <c r="G848" s="28">
        <f t="shared" si="41"/>
        <v>0</v>
      </c>
    </row>
    <row r="849" spans="2:7" outlineLevel="4" x14ac:dyDescent="0.3">
      <c r="B849" s="28" t="s">
        <v>1617</v>
      </c>
      <c r="C849" s="28" t="s">
        <v>770</v>
      </c>
      <c r="D849" s="28">
        <v>6</v>
      </c>
      <c r="E849" s="28" t="s">
        <v>3</v>
      </c>
      <c r="F849" s="28"/>
      <c r="G849" s="28">
        <f t="shared" si="41"/>
        <v>0</v>
      </c>
    </row>
    <row r="850" spans="2:7" outlineLevel="4" x14ac:dyDescent="0.3">
      <c r="B850" s="28" t="s">
        <v>1618</v>
      </c>
      <c r="C850" s="28" t="s">
        <v>771</v>
      </c>
      <c r="D850" s="28">
        <v>1</v>
      </c>
      <c r="E850" s="28" t="s">
        <v>3</v>
      </c>
      <c r="F850" s="28"/>
      <c r="G850" s="28">
        <f t="shared" si="41"/>
        <v>0</v>
      </c>
    </row>
    <row r="851" spans="2:7" outlineLevel="4" x14ac:dyDescent="0.3">
      <c r="B851" s="28" t="s">
        <v>1619</v>
      </c>
      <c r="C851" s="28" t="s">
        <v>772</v>
      </c>
      <c r="D851" s="28">
        <v>4</v>
      </c>
      <c r="E851" s="28" t="s">
        <v>3</v>
      </c>
      <c r="F851" s="28"/>
      <c r="G851" s="28">
        <f t="shared" si="41"/>
        <v>0</v>
      </c>
    </row>
    <row r="852" spans="2:7" outlineLevel="4" x14ac:dyDescent="0.3">
      <c r="B852" s="28" t="s">
        <v>1620</v>
      </c>
      <c r="C852" s="28" t="s">
        <v>773</v>
      </c>
      <c r="D852" s="28">
        <v>1</v>
      </c>
      <c r="E852" s="28" t="s">
        <v>3</v>
      </c>
      <c r="F852" s="28"/>
      <c r="G852" s="28">
        <f t="shared" si="41"/>
        <v>0</v>
      </c>
    </row>
    <row r="853" spans="2:7" outlineLevel="4" x14ac:dyDescent="0.3">
      <c r="B853" s="28" t="s">
        <v>1621</v>
      </c>
      <c r="C853" s="28" t="s">
        <v>774</v>
      </c>
      <c r="D853" s="28">
        <v>26</v>
      </c>
      <c r="E853" s="28" t="s">
        <v>3</v>
      </c>
      <c r="F853" s="28"/>
      <c r="G853" s="28">
        <f t="shared" si="41"/>
        <v>0</v>
      </c>
    </row>
    <row r="854" spans="2:7" outlineLevel="4" x14ac:dyDescent="0.3">
      <c r="B854" s="28" t="s">
        <v>1622</v>
      </c>
      <c r="C854" s="28" t="s">
        <v>775</v>
      </c>
      <c r="D854" s="28">
        <v>25</v>
      </c>
      <c r="E854" s="28" t="s">
        <v>3</v>
      </c>
      <c r="F854" s="28"/>
      <c r="G854" s="28">
        <f t="shared" si="41"/>
        <v>0</v>
      </c>
    </row>
    <row r="855" spans="2:7" outlineLevel="4" x14ac:dyDescent="0.3">
      <c r="B855" s="28" t="s">
        <v>1623</v>
      </c>
      <c r="C855" s="28" t="s">
        <v>776</v>
      </c>
      <c r="D855" s="28">
        <v>35</v>
      </c>
      <c r="E855" s="28" t="s">
        <v>3</v>
      </c>
      <c r="F855" s="28"/>
      <c r="G855" s="28">
        <f t="shared" si="41"/>
        <v>0</v>
      </c>
    </row>
    <row r="856" spans="2:7" outlineLevel="4" x14ac:dyDescent="0.3">
      <c r="B856" s="28" t="s">
        <v>1624</v>
      </c>
      <c r="C856" s="28" t="s">
        <v>723</v>
      </c>
      <c r="D856" s="28">
        <v>5</v>
      </c>
      <c r="E856" s="28" t="s">
        <v>3</v>
      </c>
      <c r="F856" s="28"/>
      <c r="G856" s="28">
        <f t="shared" si="41"/>
        <v>0</v>
      </c>
    </row>
    <row r="857" spans="2:7" outlineLevel="4" x14ac:dyDescent="0.3">
      <c r="B857" s="28" t="s">
        <v>1625</v>
      </c>
      <c r="C857" s="28" t="s">
        <v>724</v>
      </c>
      <c r="D857" s="28">
        <v>4</v>
      </c>
      <c r="E857" s="28" t="s">
        <v>3</v>
      </c>
      <c r="F857" s="28"/>
      <c r="G857" s="28">
        <f t="shared" si="41"/>
        <v>0</v>
      </c>
    </row>
    <row r="858" spans="2:7" outlineLevel="4" x14ac:dyDescent="0.3">
      <c r="B858" s="28" t="s">
        <v>1626</v>
      </c>
      <c r="C858" s="28" t="s">
        <v>725</v>
      </c>
      <c r="D858" s="28">
        <v>7</v>
      </c>
      <c r="E858" s="28" t="s">
        <v>3</v>
      </c>
      <c r="F858" s="28"/>
      <c r="G858" s="28">
        <f t="shared" si="41"/>
        <v>0</v>
      </c>
    </row>
    <row r="859" spans="2:7" outlineLevel="4" x14ac:dyDescent="0.3">
      <c r="B859" s="28" t="s">
        <v>1627</v>
      </c>
      <c r="C859" s="28" t="s">
        <v>777</v>
      </c>
      <c r="D859" s="28">
        <v>3</v>
      </c>
      <c r="E859" s="28" t="s">
        <v>3</v>
      </c>
      <c r="F859" s="28"/>
      <c r="G859" s="28">
        <f t="shared" si="41"/>
        <v>0</v>
      </c>
    </row>
    <row r="860" spans="2:7" outlineLevel="4" x14ac:dyDescent="0.3">
      <c r="B860" s="28" t="s">
        <v>1628</v>
      </c>
      <c r="C860" s="28" t="s">
        <v>778</v>
      </c>
      <c r="D860" s="28">
        <v>2</v>
      </c>
      <c r="E860" s="28" t="s">
        <v>3</v>
      </c>
      <c r="F860" s="28"/>
      <c r="G860" s="28">
        <f t="shared" si="41"/>
        <v>0</v>
      </c>
    </row>
    <row r="861" spans="2:7" outlineLevel="4" x14ac:dyDescent="0.3">
      <c r="B861" s="28" t="s">
        <v>1629</v>
      </c>
      <c r="C861" s="28" t="s">
        <v>779</v>
      </c>
      <c r="D861" s="28">
        <v>1</v>
      </c>
      <c r="E861" s="28" t="s">
        <v>3</v>
      </c>
      <c r="F861" s="28"/>
      <c r="G861" s="28">
        <f t="shared" si="41"/>
        <v>0</v>
      </c>
    </row>
    <row r="862" spans="2:7" outlineLevel="4" x14ac:dyDescent="0.3">
      <c r="B862" s="28" t="s">
        <v>1630</v>
      </c>
      <c r="C862" s="28" t="s">
        <v>780</v>
      </c>
      <c r="D862" s="28">
        <v>4</v>
      </c>
      <c r="E862" s="28" t="s">
        <v>3</v>
      </c>
      <c r="F862" s="28"/>
      <c r="G862" s="28">
        <f t="shared" si="41"/>
        <v>0</v>
      </c>
    </row>
    <row r="863" spans="2:7" outlineLevel="4" x14ac:dyDescent="0.3">
      <c r="B863" s="28" t="s">
        <v>1631</v>
      </c>
      <c r="C863" s="28" t="s">
        <v>781</v>
      </c>
      <c r="D863" s="28">
        <v>1</v>
      </c>
      <c r="E863" s="28" t="s">
        <v>3</v>
      </c>
      <c r="F863" s="28"/>
      <c r="G863" s="28">
        <f t="shared" si="41"/>
        <v>0</v>
      </c>
    </row>
    <row r="864" spans="2:7" outlineLevel="4" x14ac:dyDescent="0.3">
      <c r="B864" s="28" t="s">
        <v>1632</v>
      </c>
      <c r="C864" s="28" t="s">
        <v>782</v>
      </c>
      <c r="D864" s="28">
        <v>1</v>
      </c>
      <c r="E864" s="28" t="s">
        <v>3</v>
      </c>
      <c r="F864" s="28"/>
      <c r="G864" s="28">
        <f t="shared" si="41"/>
        <v>0</v>
      </c>
    </row>
    <row r="865" spans="2:7" outlineLevel="4" x14ac:dyDescent="0.3">
      <c r="B865" s="28" t="s">
        <v>1633</v>
      </c>
      <c r="C865" s="28" t="s">
        <v>728</v>
      </c>
      <c r="D865" s="28">
        <v>1</v>
      </c>
      <c r="E865" s="28" t="s">
        <v>3</v>
      </c>
      <c r="F865" s="28"/>
      <c r="G865" s="28">
        <f t="shared" si="41"/>
        <v>0</v>
      </c>
    </row>
    <row r="866" spans="2:7" outlineLevel="4" x14ac:dyDescent="0.3">
      <c r="B866" s="28" t="s">
        <v>1634</v>
      </c>
      <c r="C866" s="28" t="s">
        <v>783</v>
      </c>
      <c r="D866" s="28">
        <v>2</v>
      </c>
      <c r="E866" s="28" t="s">
        <v>3</v>
      </c>
      <c r="F866" s="28"/>
      <c r="G866" s="28">
        <f t="shared" si="41"/>
        <v>0</v>
      </c>
    </row>
    <row r="867" spans="2:7" outlineLevel="4" x14ac:dyDescent="0.3">
      <c r="B867" s="28" t="s">
        <v>1635</v>
      </c>
      <c r="C867" s="28" t="s">
        <v>784</v>
      </c>
      <c r="D867" s="28">
        <v>1</v>
      </c>
      <c r="E867" s="28" t="s">
        <v>3</v>
      </c>
      <c r="F867" s="28"/>
      <c r="G867" s="28">
        <f t="shared" si="41"/>
        <v>0</v>
      </c>
    </row>
    <row r="868" spans="2:7" outlineLevel="4" x14ac:dyDescent="0.3">
      <c r="B868" s="28" t="s">
        <v>1636</v>
      </c>
      <c r="C868" s="28" t="s">
        <v>785</v>
      </c>
      <c r="D868" s="28">
        <v>8</v>
      </c>
      <c r="E868" s="28" t="s">
        <v>3</v>
      </c>
      <c r="F868" s="28"/>
      <c r="G868" s="28">
        <f t="shared" si="41"/>
        <v>0</v>
      </c>
    </row>
    <row r="869" spans="2:7" outlineLevel="4" x14ac:dyDescent="0.3">
      <c r="B869" s="28" t="s">
        <v>1637</v>
      </c>
      <c r="C869" s="28" t="s">
        <v>729</v>
      </c>
      <c r="D869" s="28">
        <v>25</v>
      </c>
      <c r="E869" s="28" t="s">
        <v>3</v>
      </c>
      <c r="F869" s="28"/>
      <c r="G869" s="28">
        <f t="shared" si="41"/>
        <v>0</v>
      </c>
    </row>
    <row r="870" spans="2:7" outlineLevel="4" x14ac:dyDescent="0.3">
      <c r="B870" s="28" t="s">
        <v>1638</v>
      </c>
      <c r="C870" s="28" t="s">
        <v>730</v>
      </c>
      <c r="D870" s="28">
        <v>10</v>
      </c>
      <c r="E870" s="28" t="s">
        <v>3</v>
      </c>
      <c r="F870" s="28"/>
      <c r="G870" s="28">
        <f t="shared" si="41"/>
        <v>0</v>
      </c>
    </row>
    <row r="871" spans="2:7" outlineLevel="4" x14ac:dyDescent="0.3">
      <c r="B871" s="28" t="s">
        <v>1639</v>
      </c>
      <c r="C871" s="28" t="s">
        <v>731</v>
      </c>
      <c r="D871" s="28">
        <v>4</v>
      </c>
      <c r="E871" s="28" t="s">
        <v>3</v>
      </c>
      <c r="F871" s="28"/>
      <c r="G871" s="28">
        <f t="shared" si="41"/>
        <v>0</v>
      </c>
    </row>
    <row r="872" spans="2:7" outlineLevel="4" x14ac:dyDescent="0.3">
      <c r="B872" s="28" t="s">
        <v>1640</v>
      </c>
      <c r="C872" s="28" t="s">
        <v>732</v>
      </c>
      <c r="D872" s="28">
        <v>2</v>
      </c>
      <c r="E872" s="28" t="s">
        <v>3</v>
      </c>
      <c r="F872" s="28"/>
      <c r="G872" s="28">
        <f t="shared" si="41"/>
        <v>0</v>
      </c>
    </row>
    <row r="873" spans="2:7" outlineLevel="4" x14ac:dyDescent="0.3">
      <c r="B873" s="28" t="s">
        <v>1641</v>
      </c>
      <c r="C873" s="28" t="s">
        <v>786</v>
      </c>
      <c r="D873" s="28">
        <v>2</v>
      </c>
      <c r="E873" s="28" t="s">
        <v>3</v>
      </c>
      <c r="F873" s="28"/>
      <c r="G873" s="28">
        <f t="shared" si="41"/>
        <v>0</v>
      </c>
    </row>
    <row r="874" spans="2:7" outlineLevel="4" x14ac:dyDescent="0.3">
      <c r="B874" s="28" t="s">
        <v>1642</v>
      </c>
      <c r="C874" s="28" t="s">
        <v>736</v>
      </c>
      <c r="D874" s="28">
        <v>5</v>
      </c>
      <c r="E874" s="28" t="s">
        <v>3</v>
      </c>
      <c r="F874" s="28"/>
      <c r="G874" s="28">
        <f t="shared" si="41"/>
        <v>0</v>
      </c>
    </row>
    <row r="875" spans="2:7" outlineLevel="4" x14ac:dyDescent="0.3">
      <c r="B875" s="28" t="s">
        <v>1643</v>
      </c>
      <c r="C875" s="28" t="s">
        <v>737</v>
      </c>
      <c r="D875" s="28">
        <v>2</v>
      </c>
      <c r="E875" s="28" t="s">
        <v>3</v>
      </c>
      <c r="F875" s="28"/>
      <c r="G875" s="28">
        <f t="shared" si="41"/>
        <v>0</v>
      </c>
    </row>
    <row r="876" spans="2:7" outlineLevel="4" x14ac:dyDescent="0.3">
      <c r="B876" s="28" t="s">
        <v>1644</v>
      </c>
      <c r="C876" s="28" t="s">
        <v>738</v>
      </c>
      <c r="D876" s="28">
        <v>1</v>
      </c>
      <c r="E876" s="28" t="s">
        <v>3</v>
      </c>
      <c r="F876" s="28"/>
      <c r="G876" s="28">
        <f t="shared" si="41"/>
        <v>0</v>
      </c>
    </row>
    <row r="877" spans="2:7" outlineLevel="4" x14ac:dyDescent="0.3">
      <c r="B877" s="28" t="s">
        <v>1645</v>
      </c>
      <c r="C877" s="28" t="s">
        <v>787</v>
      </c>
      <c r="D877" s="28">
        <v>1</v>
      </c>
      <c r="E877" s="28" t="s">
        <v>3</v>
      </c>
      <c r="F877" s="28"/>
      <c r="G877" s="28">
        <f t="shared" si="41"/>
        <v>0</v>
      </c>
    </row>
    <row r="878" spans="2:7" outlineLevel="4" x14ac:dyDescent="0.3">
      <c r="B878" s="28" t="s">
        <v>1646</v>
      </c>
      <c r="C878" s="28" t="s">
        <v>740</v>
      </c>
      <c r="D878" s="28">
        <v>25</v>
      </c>
      <c r="E878" s="28" t="s">
        <v>3</v>
      </c>
      <c r="F878" s="28"/>
      <c r="G878" s="28">
        <f t="shared" si="41"/>
        <v>0</v>
      </c>
    </row>
    <row r="879" spans="2:7" outlineLevel="4" x14ac:dyDescent="0.3">
      <c r="B879" s="28" t="s">
        <v>1647</v>
      </c>
      <c r="C879" s="28" t="s">
        <v>742</v>
      </c>
      <c r="D879" s="28">
        <v>5</v>
      </c>
      <c r="E879" s="28" t="s">
        <v>3</v>
      </c>
      <c r="F879" s="28"/>
      <c r="G879" s="28">
        <f t="shared" si="41"/>
        <v>0</v>
      </c>
    </row>
    <row r="880" spans="2:7" outlineLevel="4" x14ac:dyDescent="0.3">
      <c r="B880" s="28" t="s">
        <v>1648</v>
      </c>
      <c r="C880" s="28" t="s">
        <v>743</v>
      </c>
      <c r="D880" s="28">
        <v>2</v>
      </c>
      <c r="E880" s="28" t="s">
        <v>3</v>
      </c>
      <c r="F880" s="28"/>
      <c r="G880" s="28">
        <f t="shared" si="41"/>
        <v>0</v>
      </c>
    </row>
    <row r="881" spans="2:8" outlineLevel="4" x14ac:dyDescent="0.3">
      <c r="B881" s="28" t="s">
        <v>1649</v>
      </c>
      <c r="C881" s="28" t="s">
        <v>744</v>
      </c>
      <c r="D881" s="28">
        <v>1</v>
      </c>
      <c r="E881" s="28" t="s">
        <v>3</v>
      </c>
      <c r="F881" s="28"/>
      <c r="G881" s="28">
        <f t="shared" si="41"/>
        <v>0</v>
      </c>
    </row>
    <row r="882" spans="2:8" outlineLevel="4" x14ac:dyDescent="0.3">
      <c r="B882" s="28" t="s">
        <v>1650</v>
      </c>
      <c r="C882" s="28" t="s">
        <v>745</v>
      </c>
      <c r="D882" s="28">
        <v>1</v>
      </c>
      <c r="E882" s="28" t="s">
        <v>3</v>
      </c>
      <c r="F882" s="28"/>
      <c r="G882" s="28">
        <f t="shared" si="41"/>
        <v>0</v>
      </c>
    </row>
    <row r="883" spans="2:8" outlineLevel="4" x14ac:dyDescent="0.3">
      <c r="B883" s="28" t="s">
        <v>1651</v>
      </c>
      <c r="C883" s="28" t="s">
        <v>747</v>
      </c>
      <c r="D883" s="28">
        <v>29</v>
      </c>
      <c r="E883" s="28" t="s">
        <v>3</v>
      </c>
      <c r="F883" s="28"/>
      <c r="G883" s="28">
        <f t="shared" si="41"/>
        <v>0</v>
      </c>
    </row>
    <row r="884" spans="2:8" outlineLevel="4" x14ac:dyDescent="0.3">
      <c r="B884" s="28" t="s">
        <v>1652</v>
      </c>
      <c r="C884" s="28" t="s">
        <v>748</v>
      </c>
      <c r="D884" s="28">
        <v>10</v>
      </c>
      <c r="E884" s="28" t="s">
        <v>3</v>
      </c>
      <c r="F884" s="28"/>
      <c r="G884" s="28">
        <f t="shared" si="41"/>
        <v>0</v>
      </c>
    </row>
    <row r="885" spans="2:8" outlineLevel="4" x14ac:dyDescent="0.3">
      <c r="B885" s="28" t="s">
        <v>1653</v>
      </c>
      <c r="C885" s="28" t="s">
        <v>749</v>
      </c>
      <c r="D885" s="28">
        <v>41</v>
      </c>
      <c r="E885" s="28" t="s">
        <v>3</v>
      </c>
      <c r="F885" s="28"/>
      <c r="G885" s="28">
        <f t="shared" si="41"/>
        <v>0</v>
      </c>
    </row>
    <row r="886" spans="2:8" outlineLevel="4" x14ac:dyDescent="0.3">
      <c r="B886" s="28" t="s">
        <v>1654</v>
      </c>
      <c r="C886" s="28" t="s">
        <v>750</v>
      </c>
      <c r="D886" s="28">
        <v>10</v>
      </c>
      <c r="E886" s="28" t="s">
        <v>3</v>
      </c>
      <c r="F886" s="28"/>
      <c r="G886" s="28">
        <f t="shared" si="41"/>
        <v>0</v>
      </c>
    </row>
    <row r="887" spans="2:8" outlineLevel="4" x14ac:dyDescent="0.3">
      <c r="B887" s="28" t="s">
        <v>1655</v>
      </c>
      <c r="C887" s="28" t="s">
        <v>751</v>
      </c>
      <c r="D887" s="28">
        <v>77</v>
      </c>
      <c r="E887" s="28" t="s">
        <v>3</v>
      </c>
      <c r="F887" s="28"/>
      <c r="G887" s="28">
        <f t="shared" si="41"/>
        <v>0</v>
      </c>
    </row>
    <row r="888" spans="2:8" outlineLevel="4" x14ac:dyDescent="0.3">
      <c r="B888" s="28" t="s">
        <v>1656</v>
      </c>
      <c r="C888" s="28" t="s">
        <v>753</v>
      </c>
      <c r="D888" s="28">
        <v>29</v>
      </c>
      <c r="E888" s="28" t="s">
        <v>3</v>
      </c>
      <c r="F888" s="28"/>
      <c r="G888" s="28">
        <f t="shared" si="41"/>
        <v>0</v>
      </c>
    </row>
    <row r="889" spans="2:8" outlineLevel="4" x14ac:dyDescent="0.3">
      <c r="B889" s="28" t="s">
        <v>1657</v>
      </c>
      <c r="C889" s="28" t="s">
        <v>754</v>
      </c>
      <c r="D889" s="28">
        <v>10</v>
      </c>
      <c r="E889" s="28" t="s">
        <v>3</v>
      </c>
      <c r="F889" s="28"/>
      <c r="G889" s="28">
        <f t="shared" si="41"/>
        <v>0</v>
      </c>
    </row>
    <row r="890" spans="2:8" outlineLevel="4" x14ac:dyDescent="0.3">
      <c r="B890" s="28" t="s">
        <v>1658</v>
      </c>
      <c r="C890" s="28" t="s">
        <v>755</v>
      </c>
      <c r="D890" s="28">
        <v>41</v>
      </c>
      <c r="E890" s="28" t="s">
        <v>3</v>
      </c>
      <c r="F890" s="28"/>
      <c r="G890" s="28">
        <f t="shared" si="41"/>
        <v>0</v>
      </c>
    </row>
    <row r="891" spans="2:8" outlineLevel="4" x14ac:dyDescent="0.3">
      <c r="B891" s="28" t="s">
        <v>1659</v>
      </c>
      <c r="C891" s="28" t="s">
        <v>756</v>
      </c>
      <c r="D891" s="28">
        <v>10</v>
      </c>
      <c r="E891" s="28" t="s">
        <v>3</v>
      </c>
      <c r="F891" s="28"/>
      <c r="G891" s="28">
        <f t="shared" si="41"/>
        <v>0</v>
      </c>
    </row>
    <row r="892" spans="2:8" outlineLevel="4" x14ac:dyDescent="0.3">
      <c r="B892" s="28" t="s">
        <v>1660</v>
      </c>
      <c r="C892" s="28" t="s">
        <v>757</v>
      </c>
      <c r="D892" s="28">
        <v>77</v>
      </c>
      <c r="E892" s="28" t="s">
        <v>3</v>
      </c>
      <c r="F892" s="28"/>
      <c r="G892" s="28">
        <f t="shared" si="41"/>
        <v>0</v>
      </c>
    </row>
    <row r="893" spans="2:8" outlineLevel="4" x14ac:dyDescent="0.3">
      <c r="B893" s="28" t="s">
        <v>1661</v>
      </c>
      <c r="C893" s="28" t="s">
        <v>764</v>
      </c>
      <c r="D893" s="28">
        <v>10</v>
      </c>
      <c r="E893" s="28" t="s">
        <v>3</v>
      </c>
      <c r="F893" s="28"/>
      <c r="G893" s="28">
        <f t="shared" si="41"/>
        <v>0</v>
      </c>
    </row>
    <row r="894" spans="2:8" outlineLevel="4" x14ac:dyDescent="0.3">
      <c r="B894" s="28" t="s">
        <v>1662</v>
      </c>
      <c r="C894" s="28" t="s">
        <v>765</v>
      </c>
      <c r="D894" s="28">
        <v>250</v>
      </c>
      <c r="E894" s="28" t="s">
        <v>766</v>
      </c>
      <c r="F894" s="28"/>
      <c r="G894" s="28">
        <f t="shared" si="41"/>
        <v>0</v>
      </c>
    </row>
    <row r="895" spans="2:8" outlineLevel="4" x14ac:dyDescent="0.3">
      <c r="B895" s="28" t="s">
        <v>1663</v>
      </c>
      <c r="C895" s="28" t="s">
        <v>670</v>
      </c>
      <c r="D895" s="28">
        <v>167</v>
      </c>
      <c r="E895" s="28" t="s">
        <v>3</v>
      </c>
      <c r="F895" s="28"/>
      <c r="G895" s="28">
        <f t="shared" si="41"/>
        <v>0</v>
      </c>
      <c r="H895" s="122"/>
    </row>
    <row r="896" spans="2:8" outlineLevel="4" x14ac:dyDescent="0.3">
      <c r="B896" s="28" t="s">
        <v>1664</v>
      </c>
      <c r="C896" s="28" t="s">
        <v>767</v>
      </c>
      <c r="D896" s="28">
        <v>167</v>
      </c>
      <c r="E896" s="28" t="s">
        <v>3</v>
      </c>
      <c r="F896" s="28"/>
      <c r="G896" s="28">
        <f t="shared" si="41"/>
        <v>0</v>
      </c>
      <c r="H896" s="122"/>
    </row>
    <row r="897" spans="2:8" outlineLevel="4" x14ac:dyDescent="0.3">
      <c r="B897" s="28" t="s">
        <v>1665</v>
      </c>
      <c r="C897" s="28" t="s">
        <v>672</v>
      </c>
      <c r="D897" s="28">
        <v>167</v>
      </c>
      <c r="E897" s="28" t="s">
        <v>3</v>
      </c>
      <c r="F897" s="28"/>
      <c r="G897" s="28">
        <f t="shared" si="41"/>
        <v>0</v>
      </c>
      <c r="H897" s="122"/>
    </row>
    <row r="898" spans="2:8" outlineLevel="3" x14ac:dyDescent="0.3">
      <c r="B898" s="21" t="s">
        <v>1080</v>
      </c>
      <c r="C898" s="22" t="s">
        <v>789</v>
      </c>
      <c r="D898" s="23"/>
      <c r="E898" s="24"/>
      <c r="F898" s="25"/>
      <c r="G898" s="26">
        <f>+SUBTOTAL(9,G899:G929)</f>
        <v>0</v>
      </c>
    </row>
    <row r="899" spans="2:8" outlineLevel="4" x14ac:dyDescent="0.3">
      <c r="B899" s="28" t="s">
        <v>1666</v>
      </c>
      <c r="C899" s="28" t="s">
        <v>707</v>
      </c>
      <c r="D899" s="28">
        <v>1</v>
      </c>
      <c r="E899" s="28" t="s">
        <v>3</v>
      </c>
      <c r="F899" s="28"/>
      <c r="G899" s="28">
        <f t="shared" ref="G899:G929" si="42">ROUNDUP(D899*F899,2)</f>
        <v>0</v>
      </c>
    </row>
    <row r="900" spans="2:8" outlineLevel="4" x14ac:dyDescent="0.3">
      <c r="B900" s="28" t="s">
        <v>1667</v>
      </c>
      <c r="C900" s="28" t="s">
        <v>709</v>
      </c>
      <c r="D900" s="28">
        <v>2</v>
      </c>
      <c r="E900" s="28" t="s">
        <v>3</v>
      </c>
      <c r="F900" s="28"/>
      <c r="G900" s="28">
        <f t="shared" si="42"/>
        <v>0</v>
      </c>
    </row>
    <row r="901" spans="2:8" outlineLevel="4" x14ac:dyDescent="0.3">
      <c r="B901" s="28" t="s">
        <v>1668</v>
      </c>
      <c r="C901" s="28" t="s">
        <v>770</v>
      </c>
      <c r="D901" s="28">
        <v>1</v>
      </c>
      <c r="E901" s="28" t="s">
        <v>3</v>
      </c>
      <c r="F901" s="28"/>
      <c r="G901" s="28">
        <f t="shared" si="42"/>
        <v>0</v>
      </c>
    </row>
    <row r="902" spans="2:8" outlineLevel="4" x14ac:dyDescent="0.3">
      <c r="B902" s="28" t="s">
        <v>1669</v>
      </c>
      <c r="C902" s="28" t="s">
        <v>790</v>
      </c>
      <c r="D902" s="28">
        <v>4</v>
      </c>
      <c r="E902" s="28" t="s">
        <v>3</v>
      </c>
      <c r="F902" s="28"/>
      <c r="G902" s="28">
        <f t="shared" si="42"/>
        <v>0</v>
      </c>
    </row>
    <row r="903" spans="2:8" outlineLevel="4" x14ac:dyDescent="0.3">
      <c r="B903" s="28" t="s">
        <v>1670</v>
      </c>
      <c r="C903" s="28" t="s">
        <v>791</v>
      </c>
      <c r="D903" s="28">
        <v>1</v>
      </c>
      <c r="E903" s="28" t="s">
        <v>3</v>
      </c>
      <c r="F903" s="28"/>
      <c r="G903" s="28">
        <f t="shared" si="42"/>
        <v>0</v>
      </c>
    </row>
    <row r="904" spans="2:8" outlineLevel="4" x14ac:dyDescent="0.3">
      <c r="B904" s="28" t="s">
        <v>1671</v>
      </c>
      <c r="C904" s="28" t="s">
        <v>792</v>
      </c>
      <c r="D904" s="28">
        <v>3</v>
      </c>
      <c r="E904" s="28" t="s">
        <v>3</v>
      </c>
      <c r="F904" s="28"/>
      <c r="G904" s="28">
        <f t="shared" si="42"/>
        <v>0</v>
      </c>
    </row>
    <row r="905" spans="2:8" outlineLevel="4" x14ac:dyDescent="0.3">
      <c r="B905" s="28" t="s">
        <v>1672</v>
      </c>
      <c r="C905" s="28" t="s">
        <v>793</v>
      </c>
      <c r="D905" s="28">
        <v>1</v>
      </c>
      <c r="E905" s="28" t="s">
        <v>3</v>
      </c>
      <c r="F905" s="28"/>
      <c r="G905" s="28">
        <f t="shared" si="42"/>
        <v>0</v>
      </c>
    </row>
    <row r="906" spans="2:8" outlineLevel="4" x14ac:dyDescent="0.3">
      <c r="B906" s="28" t="s">
        <v>1673</v>
      </c>
      <c r="C906" s="28" t="s">
        <v>726</v>
      </c>
      <c r="D906" s="28">
        <v>1</v>
      </c>
      <c r="E906" s="28" t="s">
        <v>3</v>
      </c>
      <c r="F906" s="28"/>
      <c r="G906" s="28">
        <f t="shared" si="42"/>
        <v>0</v>
      </c>
    </row>
    <row r="907" spans="2:8" outlineLevel="4" x14ac:dyDescent="0.3">
      <c r="B907" s="28" t="s">
        <v>1674</v>
      </c>
      <c r="C907" s="28" t="s">
        <v>727</v>
      </c>
      <c r="D907" s="28">
        <v>2</v>
      </c>
      <c r="E907" s="28" t="s">
        <v>3</v>
      </c>
      <c r="F907" s="28"/>
      <c r="G907" s="28">
        <f t="shared" si="42"/>
        <v>0</v>
      </c>
    </row>
    <row r="908" spans="2:8" outlineLevel="4" x14ac:dyDescent="0.3">
      <c r="B908" s="28" t="s">
        <v>1675</v>
      </c>
      <c r="C908" s="28" t="s">
        <v>730</v>
      </c>
      <c r="D908" s="28">
        <f>0.8*10</f>
        <v>8</v>
      </c>
      <c r="E908" s="28" t="s">
        <v>3</v>
      </c>
      <c r="F908" s="28"/>
      <c r="G908" s="28">
        <f t="shared" si="42"/>
        <v>0</v>
      </c>
    </row>
    <row r="909" spans="2:8" outlineLevel="4" x14ac:dyDescent="0.3">
      <c r="B909" s="28" t="s">
        <v>1676</v>
      </c>
      <c r="C909" s="28" t="s">
        <v>731</v>
      </c>
      <c r="D909" s="28">
        <v>10</v>
      </c>
      <c r="E909" s="28" t="s">
        <v>3</v>
      </c>
      <c r="F909" s="28"/>
      <c r="G909" s="28">
        <f t="shared" si="42"/>
        <v>0</v>
      </c>
    </row>
    <row r="910" spans="2:8" outlineLevel="4" x14ac:dyDescent="0.3">
      <c r="B910" s="28" t="s">
        <v>1677</v>
      </c>
      <c r="C910" s="28" t="s">
        <v>786</v>
      </c>
      <c r="D910" s="28">
        <v>6</v>
      </c>
      <c r="E910" s="28" t="s">
        <v>3</v>
      </c>
      <c r="F910" s="28"/>
      <c r="G910" s="28">
        <f t="shared" si="42"/>
        <v>0</v>
      </c>
    </row>
    <row r="911" spans="2:8" outlineLevel="4" x14ac:dyDescent="0.3">
      <c r="B911" s="28" t="s">
        <v>1678</v>
      </c>
      <c r="C911" s="28" t="s">
        <v>736</v>
      </c>
      <c r="D911" s="28">
        <f>0.8*5</f>
        <v>4</v>
      </c>
      <c r="E911" s="28" t="s">
        <v>3</v>
      </c>
      <c r="F911" s="28"/>
      <c r="G911" s="28">
        <f t="shared" si="42"/>
        <v>0</v>
      </c>
    </row>
    <row r="912" spans="2:8" outlineLevel="4" x14ac:dyDescent="0.3">
      <c r="B912" s="28" t="s">
        <v>1679</v>
      </c>
      <c r="C912" s="28" t="s">
        <v>737</v>
      </c>
      <c r="D912" s="28">
        <v>5</v>
      </c>
      <c r="E912" s="28" t="s">
        <v>3</v>
      </c>
      <c r="F912" s="28"/>
      <c r="G912" s="28">
        <f t="shared" si="42"/>
        <v>0</v>
      </c>
    </row>
    <row r="913" spans="2:8" outlineLevel="4" x14ac:dyDescent="0.3">
      <c r="B913" s="28" t="s">
        <v>1680</v>
      </c>
      <c r="C913" s="28" t="s">
        <v>787</v>
      </c>
      <c r="D913" s="28">
        <v>3</v>
      </c>
      <c r="E913" s="28" t="s">
        <v>3</v>
      </c>
      <c r="F913" s="28"/>
      <c r="G913" s="28">
        <f t="shared" si="42"/>
        <v>0</v>
      </c>
    </row>
    <row r="914" spans="2:8" outlineLevel="4" x14ac:dyDescent="0.3">
      <c r="B914" s="28" t="s">
        <v>1681</v>
      </c>
      <c r="C914" s="28" t="s">
        <v>741</v>
      </c>
      <c r="D914" s="28">
        <v>1</v>
      </c>
      <c r="E914" s="28" t="s">
        <v>3</v>
      </c>
      <c r="F914" s="28"/>
      <c r="G914" s="28">
        <f t="shared" si="42"/>
        <v>0</v>
      </c>
    </row>
    <row r="915" spans="2:8" outlineLevel="4" x14ac:dyDescent="0.3">
      <c r="B915" s="28" t="s">
        <v>1682</v>
      </c>
      <c r="C915" s="28" t="s">
        <v>742</v>
      </c>
      <c r="D915" s="28">
        <v>6</v>
      </c>
      <c r="E915" s="28" t="s">
        <v>3</v>
      </c>
      <c r="F915" s="28"/>
      <c r="G915" s="28">
        <f t="shared" si="42"/>
        <v>0</v>
      </c>
    </row>
    <row r="916" spans="2:8" outlineLevel="4" x14ac:dyDescent="0.3">
      <c r="B916" s="28" t="s">
        <v>1683</v>
      </c>
      <c r="C916" s="28" t="s">
        <v>743</v>
      </c>
      <c r="D916" s="28">
        <v>5</v>
      </c>
      <c r="E916" s="28" t="s">
        <v>3</v>
      </c>
      <c r="F916" s="28"/>
      <c r="G916" s="28">
        <f t="shared" si="42"/>
        <v>0</v>
      </c>
    </row>
    <row r="917" spans="2:8" outlineLevel="4" x14ac:dyDescent="0.3">
      <c r="B917" s="28" t="s">
        <v>1684</v>
      </c>
      <c r="C917" s="28" t="s">
        <v>745</v>
      </c>
      <c r="D917" s="28">
        <v>3</v>
      </c>
      <c r="E917" s="28" t="s">
        <v>3</v>
      </c>
      <c r="F917" s="28"/>
      <c r="G917" s="28">
        <f t="shared" si="42"/>
        <v>0</v>
      </c>
    </row>
    <row r="918" spans="2:8" outlineLevel="4" x14ac:dyDescent="0.3">
      <c r="B918" s="28" t="s">
        <v>1685</v>
      </c>
      <c r="C918" s="28" t="s">
        <v>746</v>
      </c>
      <c r="D918" s="28">
        <v>9</v>
      </c>
      <c r="E918" s="28" t="s">
        <v>3</v>
      </c>
      <c r="F918" s="28"/>
      <c r="G918" s="28">
        <f t="shared" si="42"/>
        <v>0</v>
      </c>
    </row>
    <row r="919" spans="2:8" outlineLevel="4" x14ac:dyDescent="0.3">
      <c r="B919" s="28" t="s">
        <v>1686</v>
      </c>
      <c r="C919" s="28" t="s">
        <v>747</v>
      </c>
      <c r="D919" s="28">
        <v>3</v>
      </c>
      <c r="E919" s="28" t="s">
        <v>3</v>
      </c>
      <c r="F919" s="28"/>
      <c r="G919" s="28">
        <f t="shared" si="42"/>
        <v>0</v>
      </c>
    </row>
    <row r="920" spans="2:8" outlineLevel="4" x14ac:dyDescent="0.3">
      <c r="B920" s="28" t="s">
        <v>1687</v>
      </c>
      <c r="C920" s="28" t="s">
        <v>748</v>
      </c>
      <c r="D920" s="28">
        <v>3</v>
      </c>
      <c r="E920" s="28" t="s">
        <v>3</v>
      </c>
      <c r="F920" s="28"/>
      <c r="G920" s="28">
        <f t="shared" si="42"/>
        <v>0</v>
      </c>
    </row>
    <row r="921" spans="2:8" outlineLevel="4" x14ac:dyDescent="0.3">
      <c r="B921" s="28" t="s">
        <v>1688</v>
      </c>
      <c r="C921" s="28" t="s">
        <v>752</v>
      </c>
      <c r="D921" s="28">
        <v>9</v>
      </c>
      <c r="E921" s="28" t="s">
        <v>3</v>
      </c>
      <c r="F921" s="28"/>
      <c r="G921" s="28">
        <f t="shared" si="42"/>
        <v>0</v>
      </c>
    </row>
    <row r="922" spans="2:8" outlineLevel="4" x14ac:dyDescent="0.3">
      <c r="B922" s="28" t="s">
        <v>1689</v>
      </c>
      <c r="C922" s="28" t="s">
        <v>754</v>
      </c>
      <c r="D922" s="28">
        <v>3</v>
      </c>
      <c r="E922" s="28" t="s">
        <v>3</v>
      </c>
      <c r="F922" s="28"/>
      <c r="G922" s="28">
        <f t="shared" si="42"/>
        <v>0</v>
      </c>
    </row>
    <row r="923" spans="2:8" outlineLevel="4" x14ac:dyDescent="0.3">
      <c r="B923" s="28" t="s">
        <v>1690</v>
      </c>
      <c r="C923" s="28" t="s">
        <v>758</v>
      </c>
      <c r="D923" s="28">
        <v>1</v>
      </c>
      <c r="E923" s="28" t="s">
        <v>3</v>
      </c>
      <c r="F923" s="28"/>
      <c r="G923" s="28">
        <f t="shared" si="42"/>
        <v>0</v>
      </c>
    </row>
    <row r="924" spans="2:8" outlineLevel="4" x14ac:dyDescent="0.3">
      <c r="B924" s="28" t="s">
        <v>1691</v>
      </c>
      <c r="C924" s="28" t="s">
        <v>759</v>
      </c>
      <c r="D924" s="28">
        <v>1</v>
      </c>
      <c r="E924" s="28" t="s">
        <v>3</v>
      </c>
      <c r="F924" s="28"/>
      <c r="G924" s="28">
        <f t="shared" si="42"/>
        <v>0</v>
      </c>
    </row>
    <row r="925" spans="2:8" outlineLevel="4" x14ac:dyDescent="0.3">
      <c r="B925" s="28" t="s">
        <v>1692</v>
      </c>
      <c r="C925" s="28" t="s">
        <v>760</v>
      </c>
      <c r="D925" s="28">
        <v>1</v>
      </c>
      <c r="E925" s="28" t="s">
        <v>3</v>
      </c>
      <c r="F925" s="28"/>
      <c r="G925" s="28">
        <f t="shared" si="42"/>
        <v>0</v>
      </c>
    </row>
    <row r="926" spans="2:8" outlineLevel="4" x14ac:dyDescent="0.3">
      <c r="B926" s="28" t="s">
        <v>1693</v>
      </c>
      <c r="C926" s="28" t="s">
        <v>764</v>
      </c>
      <c r="D926" s="28">
        <f>0.5*2</f>
        <v>1</v>
      </c>
      <c r="E926" s="28" t="s">
        <v>3</v>
      </c>
      <c r="F926" s="28"/>
      <c r="G926" s="28">
        <f t="shared" si="42"/>
        <v>0</v>
      </c>
    </row>
    <row r="927" spans="2:8" outlineLevel="4" x14ac:dyDescent="0.3">
      <c r="B927" s="28" t="s">
        <v>1694</v>
      </c>
      <c r="C927" s="28" t="s">
        <v>670</v>
      </c>
      <c r="D927" s="28">
        <v>12</v>
      </c>
      <c r="E927" s="28" t="s">
        <v>3</v>
      </c>
      <c r="F927" s="28"/>
      <c r="G927" s="28">
        <f t="shared" si="42"/>
        <v>0</v>
      </c>
      <c r="H927" s="122"/>
    </row>
    <row r="928" spans="2:8" outlineLevel="4" x14ac:dyDescent="0.3">
      <c r="B928" s="28" t="s">
        <v>1695</v>
      </c>
      <c r="C928" s="28" t="s">
        <v>767</v>
      </c>
      <c r="D928" s="28">
        <v>12</v>
      </c>
      <c r="E928" s="28" t="s">
        <v>3</v>
      </c>
      <c r="F928" s="28"/>
      <c r="G928" s="28">
        <f t="shared" si="42"/>
        <v>0</v>
      </c>
      <c r="H928" s="122"/>
    </row>
    <row r="929" spans="2:8" outlineLevel="4" x14ac:dyDescent="0.3">
      <c r="B929" s="28" t="s">
        <v>1696</v>
      </c>
      <c r="C929" s="28" t="s">
        <v>672</v>
      </c>
      <c r="D929" s="28">
        <v>12</v>
      </c>
      <c r="E929" s="28" t="s">
        <v>3</v>
      </c>
      <c r="F929" s="28"/>
      <c r="G929" s="28">
        <f t="shared" si="42"/>
        <v>0</v>
      </c>
      <c r="H929" s="122"/>
    </row>
    <row r="930" spans="2:8" outlineLevel="3" x14ac:dyDescent="0.3">
      <c r="B930" s="21" t="s">
        <v>1081</v>
      </c>
      <c r="C930" s="22" t="s">
        <v>795</v>
      </c>
      <c r="D930" s="23"/>
      <c r="E930" s="24"/>
      <c r="F930" s="25"/>
      <c r="G930" s="26">
        <f>+SUBTOTAL(9,G931:G950)</f>
        <v>0</v>
      </c>
    </row>
    <row r="931" spans="2:8" outlineLevel="4" x14ac:dyDescent="0.3">
      <c r="B931" s="28" t="s">
        <v>1697</v>
      </c>
      <c r="C931" s="28" t="s">
        <v>796</v>
      </c>
      <c r="D931" s="28">
        <v>214</v>
      </c>
      <c r="E931" s="28" t="s">
        <v>3</v>
      </c>
      <c r="F931" s="28"/>
      <c r="G931" s="28">
        <f t="shared" ref="G931:G950" si="43">ROUNDUP(D931*F931,2)</f>
        <v>0</v>
      </c>
    </row>
    <row r="932" spans="2:8" outlineLevel="4" x14ac:dyDescent="0.3">
      <c r="B932" s="28" t="s">
        <v>1698</v>
      </c>
      <c r="C932" s="28" t="s">
        <v>797</v>
      </c>
      <c r="D932" s="28">
        <v>36</v>
      </c>
      <c r="E932" s="28" t="s">
        <v>3</v>
      </c>
      <c r="F932" s="28"/>
      <c r="G932" s="28">
        <f t="shared" si="43"/>
        <v>0</v>
      </c>
    </row>
    <row r="933" spans="2:8" outlineLevel="4" x14ac:dyDescent="0.3">
      <c r="B933" s="28" t="s">
        <v>1699</v>
      </c>
      <c r="C933" s="28" t="s">
        <v>798</v>
      </c>
      <c r="D933" s="28">
        <v>36</v>
      </c>
      <c r="E933" s="28" t="s">
        <v>799</v>
      </c>
      <c r="F933" s="28"/>
      <c r="G933" s="28">
        <f t="shared" si="43"/>
        <v>0</v>
      </c>
    </row>
    <row r="934" spans="2:8" outlineLevel="4" x14ac:dyDescent="0.3">
      <c r="B934" s="28" t="s">
        <v>1700</v>
      </c>
      <c r="C934" s="28" t="s">
        <v>800</v>
      </c>
      <c r="D934" s="28">
        <v>43</v>
      </c>
      <c r="E934" s="28" t="s">
        <v>3</v>
      </c>
      <c r="F934" s="28"/>
      <c r="G934" s="28">
        <f t="shared" si="43"/>
        <v>0</v>
      </c>
    </row>
    <row r="935" spans="2:8" outlineLevel="4" x14ac:dyDescent="0.3">
      <c r="B935" s="28" t="s">
        <v>1701</v>
      </c>
      <c r="C935" s="28" t="s">
        <v>801</v>
      </c>
      <c r="D935" s="28">
        <v>1</v>
      </c>
      <c r="E935" s="28" t="s">
        <v>3</v>
      </c>
      <c r="F935" s="28"/>
      <c r="G935" s="28">
        <f t="shared" si="43"/>
        <v>0</v>
      </c>
    </row>
    <row r="936" spans="2:8" outlineLevel="4" x14ac:dyDescent="0.3">
      <c r="B936" s="28" t="s">
        <v>1702</v>
      </c>
      <c r="C936" s="28" t="s">
        <v>802</v>
      </c>
      <c r="D936" s="28">
        <v>1</v>
      </c>
      <c r="E936" s="28" t="s">
        <v>3</v>
      </c>
      <c r="F936" s="28"/>
      <c r="G936" s="28">
        <f t="shared" si="43"/>
        <v>0</v>
      </c>
    </row>
    <row r="937" spans="2:8" outlineLevel="4" x14ac:dyDescent="0.3">
      <c r="B937" s="28" t="s">
        <v>1703</v>
      </c>
      <c r="C937" s="28" t="s">
        <v>803</v>
      </c>
      <c r="D937" s="28">
        <v>18</v>
      </c>
      <c r="E937" s="28" t="s">
        <v>3</v>
      </c>
      <c r="F937" s="28"/>
      <c r="G937" s="28">
        <f t="shared" si="43"/>
        <v>0</v>
      </c>
    </row>
    <row r="938" spans="2:8" outlineLevel="4" x14ac:dyDescent="0.3">
      <c r="B938" s="28" t="s">
        <v>1704</v>
      </c>
      <c r="C938" s="28" t="s">
        <v>804</v>
      </c>
      <c r="D938" s="28">
        <v>43</v>
      </c>
      <c r="E938" s="28" t="s">
        <v>3</v>
      </c>
      <c r="F938" s="28"/>
      <c r="G938" s="28">
        <f t="shared" si="43"/>
        <v>0</v>
      </c>
    </row>
    <row r="939" spans="2:8" outlineLevel="4" x14ac:dyDescent="0.3">
      <c r="B939" s="28" t="s">
        <v>1705</v>
      </c>
      <c r="C939" s="28" t="s">
        <v>805</v>
      </c>
      <c r="D939" s="28">
        <v>17</v>
      </c>
      <c r="E939" s="28" t="s">
        <v>3</v>
      </c>
      <c r="F939" s="28"/>
      <c r="G939" s="28">
        <f t="shared" si="43"/>
        <v>0</v>
      </c>
    </row>
    <row r="940" spans="2:8" outlineLevel="4" x14ac:dyDescent="0.3">
      <c r="B940" s="28" t="s">
        <v>1706</v>
      </c>
      <c r="C940" s="28" t="s">
        <v>806</v>
      </c>
      <c r="D940" s="28">
        <v>18</v>
      </c>
      <c r="E940" s="28" t="s">
        <v>3</v>
      </c>
      <c r="F940" s="28"/>
      <c r="G940" s="28">
        <f t="shared" si="43"/>
        <v>0</v>
      </c>
    </row>
    <row r="941" spans="2:8" outlineLevel="4" x14ac:dyDescent="0.3">
      <c r="B941" s="28" t="s">
        <v>1707</v>
      </c>
      <c r="C941" s="28" t="s">
        <v>807</v>
      </c>
      <c r="D941" s="28">
        <v>18</v>
      </c>
      <c r="E941" s="28" t="s">
        <v>3</v>
      </c>
      <c r="F941" s="28"/>
      <c r="G941" s="28">
        <f t="shared" si="43"/>
        <v>0</v>
      </c>
    </row>
    <row r="942" spans="2:8" outlineLevel="4" x14ac:dyDescent="0.3">
      <c r="B942" s="28" t="s">
        <v>1708</v>
      </c>
      <c r="C942" s="28" t="s">
        <v>808</v>
      </c>
      <c r="D942" s="28">
        <v>18</v>
      </c>
      <c r="E942" s="28" t="s">
        <v>3</v>
      </c>
      <c r="F942" s="28"/>
      <c r="G942" s="28">
        <f t="shared" si="43"/>
        <v>0</v>
      </c>
    </row>
    <row r="943" spans="2:8" outlineLevel="4" x14ac:dyDescent="0.3">
      <c r="B943" s="28" t="s">
        <v>1709</v>
      </c>
      <c r="C943" s="28" t="s">
        <v>809</v>
      </c>
      <c r="D943" s="28">
        <v>7</v>
      </c>
      <c r="E943" s="28" t="s">
        <v>3</v>
      </c>
      <c r="F943" s="28"/>
      <c r="G943" s="28">
        <f t="shared" si="43"/>
        <v>0</v>
      </c>
    </row>
    <row r="944" spans="2:8" outlineLevel="4" x14ac:dyDescent="0.3">
      <c r="B944" s="28" t="s">
        <v>1710</v>
      </c>
      <c r="C944" s="28" t="s">
        <v>810</v>
      </c>
      <c r="D944" s="28">
        <v>7</v>
      </c>
      <c r="E944" s="28" t="s">
        <v>3</v>
      </c>
      <c r="F944" s="28"/>
      <c r="G944" s="28">
        <f t="shared" si="43"/>
        <v>0</v>
      </c>
    </row>
    <row r="945" spans="2:11" outlineLevel="4" x14ac:dyDescent="0.3">
      <c r="B945" s="28" t="s">
        <v>1711</v>
      </c>
      <c r="C945" s="28" t="s">
        <v>811</v>
      </c>
      <c r="D945" s="28">
        <v>7</v>
      </c>
      <c r="E945" s="28" t="s">
        <v>3</v>
      </c>
      <c r="F945" s="28"/>
      <c r="G945" s="28">
        <f t="shared" si="43"/>
        <v>0</v>
      </c>
    </row>
    <row r="946" spans="2:11" outlineLevel="4" x14ac:dyDescent="0.3">
      <c r="B946" s="28" t="s">
        <v>1712</v>
      </c>
      <c r="C946" s="28" t="s">
        <v>812</v>
      </c>
      <c r="D946" s="28">
        <v>7</v>
      </c>
      <c r="E946" s="28" t="s">
        <v>3</v>
      </c>
      <c r="F946" s="28"/>
      <c r="G946" s="28">
        <f t="shared" si="43"/>
        <v>0</v>
      </c>
    </row>
    <row r="947" spans="2:11" outlineLevel="4" x14ac:dyDescent="0.3">
      <c r="B947" s="28" t="s">
        <v>1713</v>
      </c>
      <c r="C947" s="28" t="s">
        <v>813</v>
      </c>
      <c r="D947" s="28">
        <v>40</v>
      </c>
      <c r="E947" s="28" t="s">
        <v>3</v>
      </c>
      <c r="F947" s="28"/>
      <c r="G947" s="28">
        <f t="shared" si="43"/>
        <v>0</v>
      </c>
    </row>
    <row r="948" spans="2:11" outlineLevel="4" x14ac:dyDescent="0.3">
      <c r="B948" s="28" t="s">
        <v>1714</v>
      </c>
      <c r="C948" s="28" t="s">
        <v>814</v>
      </c>
      <c r="D948" s="28">
        <v>100</v>
      </c>
      <c r="E948" s="28" t="s">
        <v>3</v>
      </c>
      <c r="F948" s="28"/>
      <c r="G948" s="28">
        <f t="shared" si="43"/>
        <v>0</v>
      </c>
    </row>
    <row r="949" spans="2:11" outlineLevel="4" x14ac:dyDescent="0.3">
      <c r="B949" s="28" t="s">
        <v>1715</v>
      </c>
      <c r="C949" s="28" t="s">
        <v>815</v>
      </c>
      <c r="D949" s="28">
        <v>180</v>
      </c>
      <c r="E949" s="28" t="s">
        <v>766</v>
      </c>
      <c r="F949" s="28"/>
      <c r="G949" s="28">
        <f t="shared" si="43"/>
        <v>0</v>
      </c>
    </row>
    <row r="950" spans="2:11" outlineLevel="4" x14ac:dyDescent="0.3">
      <c r="B950" s="28" t="s">
        <v>1716</v>
      </c>
      <c r="C950" s="28" t="s">
        <v>672</v>
      </c>
      <c r="D950" s="28">
        <v>10</v>
      </c>
      <c r="E950" s="28" t="s">
        <v>2284</v>
      </c>
      <c r="F950" s="28"/>
      <c r="G950" s="28">
        <f t="shared" si="43"/>
        <v>0</v>
      </c>
      <c r="H950" s="122"/>
    </row>
    <row r="951" spans="2:11" outlineLevel="3" x14ac:dyDescent="0.3">
      <c r="B951" s="58"/>
      <c r="C951" s="59"/>
      <c r="D951" s="59"/>
      <c r="E951" s="59"/>
      <c r="F951" s="59"/>
      <c r="G951" s="60"/>
    </row>
    <row r="952" spans="2:11" outlineLevel="2" x14ac:dyDescent="0.3">
      <c r="B952" s="21" t="s">
        <v>548</v>
      </c>
      <c r="C952" s="22" t="s">
        <v>816</v>
      </c>
      <c r="D952" s="23"/>
      <c r="E952" s="24"/>
      <c r="F952" s="25"/>
      <c r="G952" s="26">
        <f>+SUBTOTAL(9,G953)</f>
        <v>0</v>
      </c>
    </row>
    <row r="953" spans="2:11" outlineLevel="3" x14ac:dyDescent="0.3">
      <c r="B953" s="28" t="s">
        <v>550</v>
      </c>
      <c r="C953" s="28" t="s">
        <v>817</v>
      </c>
      <c r="D953" s="28">
        <v>10</v>
      </c>
      <c r="E953" s="28" t="s">
        <v>2284</v>
      </c>
      <c r="F953" s="28"/>
      <c r="G953" s="28">
        <f t="shared" ref="G953" si="44">ROUNDUP(D953*F953,2)</f>
        <v>0</v>
      </c>
      <c r="H953" s="122"/>
      <c r="K953" s="120"/>
    </row>
    <row r="954" spans="2:11" outlineLevel="2" x14ac:dyDescent="0.3">
      <c r="B954" s="21" t="s">
        <v>551</v>
      </c>
      <c r="C954" s="22" t="s">
        <v>818</v>
      </c>
      <c r="D954" s="23"/>
      <c r="E954" s="24"/>
      <c r="F954" s="25"/>
      <c r="G954" s="26">
        <f>+SUBTOTAL(9,G955)</f>
        <v>0</v>
      </c>
    </row>
    <row r="955" spans="2:11" outlineLevel="3" x14ac:dyDescent="0.3">
      <c r="B955" s="28" t="s">
        <v>552</v>
      </c>
      <c r="C955" s="28" t="s">
        <v>819</v>
      </c>
      <c r="D955" s="28">
        <v>40</v>
      </c>
      <c r="E955" s="28" t="s">
        <v>2284</v>
      </c>
      <c r="F955" s="28"/>
      <c r="G955" s="28">
        <f t="shared" ref="G955" si="45">ROUNDUP(D955*F955,2)</f>
        <v>0</v>
      </c>
      <c r="H955" s="122"/>
    </row>
    <row r="956" spans="2:11" outlineLevel="2" x14ac:dyDescent="0.3">
      <c r="B956" s="29"/>
      <c r="C956" s="16"/>
      <c r="D956" s="17"/>
      <c r="E956" s="18"/>
      <c r="F956" s="19"/>
      <c r="G956" s="20"/>
    </row>
    <row r="957" spans="2:11" outlineLevel="1" x14ac:dyDescent="0.3">
      <c r="B957" s="29">
        <v>2.2999999999999998</v>
      </c>
      <c r="C957" s="16" t="s">
        <v>1717</v>
      </c>
      <c r="D957" s="17"/>
      <c r="E957" s="18"/>
      <c r="F957" s="19"/>
      <c r="G957" s="20">
        <f>SUBTOTAL(9,G958:G976)</f>
        <v>0</v>
      </c>
    </row>
    <row r="958" spans="2:11" outlineLevel="2" x14ac:dyDescent="0.3">
      <c r="B958" s="21" t="s">
        <v>1082</v>
      </c>
      <c r="C958" s="22" t="s">
        <v>578</v>
      </c>
      <c r="D958" s="23"/>
      <c r="E958" s="24"/>
      <c r="F958" s="25"/>
      <c r="G958" s="26">
        <f>+SUBTOTAL(9,G959:G960)</f>
        <v>0</v>
      </c>
    </row>
    <row r="959" spans="2:11" ht="41.4" outlineLevel="3" x14ac:dyDescent="0.3">
      <c r="B959" s="17" t="s">
        <v>1083</v>
      </c>
      <c r="C959" s="30" t="s">
        <v>580</v>
      </c>
      <c r="D959" s="17">
        <v>15</v>
      </c>
      <c r="E959" s="18" t="s">
        <v>581</v>
      </c>
      <c r="F959" s="27"/>
      <c r="G959" s="28">
        <f t="shared" ref="G959:G960" si="46">ROUNDUP(D959*F959,2)</f>
        <v>0</v>
      </c>
    </row>
    <row r="960" spans="2:11" ht="27.6" outlineLevel="3" x14ac:dyDescent="0.3">
      <c r="B960" s="17" t="s">
        <v>1084</v>
      </c>
      <c r="C960" s="30" t="s">
        <v>583</v>
      </c>
      <c r="D960" s="17">
        <v>10</v>
      </c>
      <c r="E960" s="18" t="s">
        <v>581</v>
      </c>
      <c r="F960" s="27"/>
      <c r="G960" s="28">
        <f t="shared" si="46"/>
        <v>0</v>
      </c>
    </row>
    <row r="961" spans="2:7" outlineLevel="2" x14ac:dyDescent="0.3">
      <c r="B961" s="21" t="s">
        <v>1085</v>
      </c>
      <c r="C961" s="22" t="s">
        <v>585</v>
      </c>
      <c r="D961" s="23"/>
      <c r="E961" s="24"/>
      <c r="F961" s="25"/>
      <c r="G961" s="26">
        <f>+SUBTOTAL(9,G962:G975)</f>
        <v>0</v>
      </c>
    </row>
    <row r="962" spans="2:7" ht="55.2" outlineLevel="3" x14ac:dyDescent="0.3">
      <c r="B962" s="17" t="s">
        <v>1086</v>
      </c>
      <c r="C962" s="30" t="s">
        <v>587</v>
      </c>
      <c r="D962" s="17">
        <v>30</v>
      </c>
      <c r="E962" s="18" t="s">
        <v>581</v>
      </c>
      <c r="F962" s="27"/>
      <c r="G962" s="28">
        <f t="shared" ref="G962:G975" si="47">ROUNDUP(D962*F962,2)</f>
        <v>0</v>
      </c>
    </row>
    <row r="963" spans="2:7" ht="55.2" outlineLevel="3" x14ac:dyDescent="0.3">
      <c r="B963" s="17" t="s">
        <v>1087</v>
      </c>
      <c r="C963" s="30" t="s">
        <v>589</v>
      </c>
      <c r="D963" s="17">
        <v>4</v>
      </c>
      <c r="E963" s="18" t="s">
        <v>581</v>
      </c>
      <c r="F963" s="27"/>
      <c r="G963" s="28">
        <f t="shared" si="47"/>
        <v>0</v>
      </c>
    </row>
    <row r="964" spans="2:7" ht="41.4" outlineLevel="3" x14ac:dyDescent="0.3">
      <c r="B964" s="17" t="s">
        <v>1087</v>
      </c>
      <c r="C964" s="30" t="s">
        <v>590</v>
      </c>
      <c r="D964" s="17">
        <v>1</v>
      </c>
      <c r="E964" s="18" t="s">
        <v>581</v>
      </c>
      <c r="F964" s="27"/>
      <c r="G964" s="28">
        <f t="shared" si="47"/>
        <v>0</v>
      </c>
    </row>
    <row r="965" spans="2:7" ht="55.2" outlineLevel="3" x14ac:dyDescent="0.3">
      <c r="B965" s="17" t="s">
        <v>1088</v>
      </c>
      <c r="C965" s="30" t="s">
        <v>592</v>
      </c>
      <c r="D965" s="17">
        <v>1</v>
      </c>
      <c r="E965" s="18" t="s">
        <v>581</v>
      </c>
      <c r="F965" s="27"/>
      <c r="G965" s="28">
        <f t="shared" si="47"/>
        <v>0</v>
      </c>
    </row>
    <row r="966" spans="2:7" ht="55.2" outlineLevel="3" x14ac:dyDescent="0.3">
      <c r="B966" s="17" t="s">
        <v>1089</v>
      </c>
      <c r="C966" s="30" t="s">
        <v>594</v>
      </c>
      <c r="D966" s="17">
        <v>11</v>
      </c>
      <c r="E966" s="18" t="s">
        <v>581</v>
      </c>
      <c r="F966" s="27"/>
      <c r="G966" s="28">
        <f t="shared" si="47"/>
        <v>0</v>
      </c>
    </row>
    <row r="967" spans="2:7" ht="41.4" outlineLevel="3" x14ac:dyDescent="0.3">
      <c r="B967" s="17" t="s">
        <v>1090</v>
      </c>
      <c r="C967" s="30" t="s">
        <v>596</v>
      </c>
      <c r="D967" s="17">
        <v>42</v>
      </c>
      <c r="E967" s="18" t="s">
        <v>581</v>
      </c>
      <c r="F967" s="27"/>
      <c r="G967" s="28">
        <f t="shared" si="47"/>
        <v>0</v>
      </c>
    </row>
    <row r="968" spans="2:7" ht="41.4" outlineLevel="3" x14ac:dyDescent="0.3">
      <c r="B968" s="17" t="s">
        <v>1091</v>
      </c>
      <c r="C968" s="30" t="s">
        <v>598</v>
      </c>
      <c r="D968" s="17">
        <v>1</v>
      </c>
      <c r="E968" s="18" t="s">
        <v>581</v>
      </c>
      <c r="F968" s="27"/>
      <c r="G968" s="28">
        <f t="shared" si="47"/>
        <v>0</v>
      </c>
    </row>
    <row r="969" spans="2:7" ht="27.6" outlineLevel="3" x14ac:dyDescent="0.3">
      <c r="B969" s="17" t="s">
        <v>1092</v>
      </c>
      <c r="C969" s="30" t="s">
        <v>600</v>
      </c>
      <c r="D969" s="17">
        <v>42</v>
      </c>
      <c r="E969" s="18" t="s">
        <v>581</v>
      </c>
      <c r="F969" s="27"/>
      <c r="G969" s="28">
        <f t="shared" si="47"/>
        <v>0</v>
      </c>
    </row>
    <row r="970" spans="2:7" ht="41.4" outlineLevel="3" x14ac:dyDescent="0.3">
      <c r="B970" s="17" t="s">
        <v>1093</v>
      </c>
      <c r="C970" s="30" t="s">
        <v>602</v>
      </c>
      <c r="D970" s="17">
        <v>1</v>
      </c>
      <c r="E970" s="18" t="s">
        <v>581</v>
      </c>
      <c r="F970" s="27"/>
      <c r="G970" s="28">
        <f t="shared" si="47"/>
        <v>0</v>
      </c>
    </row>
    <row r="971" spans="2:7" outlineLevel="3" x14ac:dyDescent="0.3">
      <c r="B971" s="17" t="s">
        <v>1094</v>
      </c>
      <c r="C971" s="30" t="s">
        <v>604</v>
      </c>
      <c r="D971" s="17">
        <v>43</v>
      </c>
      <c r="E971" s="18" t="s">
        <v>581</v>
      </c>
      <c r="F971" s="27"/>
      <c r="G971" s="28">
        <f t="shared" si="47"/>
        <v>0</v>
      </c>
    </row>
    <row r="972" spans="2:7" outlineLevel="3" x14ac:dyDescent="0.3">
      <c r="B972" s="17" t="s">
        <v>1095</v>
      </c>
      <c r="C972" s="30" t="s">
        <v>606</v>
      </c>
      <c r="D972" s="17">
        <v>19</v>
      </c>
      <c r="E972" s="18" t="s">
        <v>581</v>
      </c>
      <c r="F972" s="27"/>
      <c r="G972" s="28">
        <f t="shared" si="47"/>
        <v>0</v>
      </c>
    </row>
    <row r="973" spans="2:7" ht="27.6" outlineLevel="3" x14ac:dyDescent="0.3">
      <c r="B973" s="17" t="s">
        <v>1096</v>
      </c>
      <c r="C973" s="30" t="s">
        <v>608</v>
      </c>
      <c r="D973" s="17">
        <v>18</v>
      </c>
      <c r="E973" s="18" t="s">
        <v>581</v>
      </c>
      <c r="F973" s="27"/>
      <c r="G973" s="28">
        <f t="shared" si="47"/>
        <v>0</v>
      </c>
    </row>
    <row r="974" spans="2:7" ht="27.6" outlineLevel="3" x14ac:dyDescent="0.3">
      <c r="B974" s="17" t="s">
        <v>1718</v>
      </c>
      <c r="C974" s="30" t="s">
        <v>610</v>
      </c>
      <c r="D974" s="17">
        <v>18</v>
      </c>
      <c r="E974" s="18" t="s">
        <v>581</v>
      </c>
      <c r="F974" s="27"/>
      <c r="G974" s="28">
        <f t="shared" si="47"/>
        <v>0</v>
      </c>
    </row>
    <row r="975" spans="2:7" outlineLevel="3" x14ac:dyDescent="0.3">
      <c r="B975" s="17" t="s">
        <v>1719</v>
      </c>
      <c r="C975" s="30" t="s">
        <v>612</v>
      </c>
      <c r="D975" s="17">
        <v>11</v>
      </c>
      <c r="E975" s="18" t="s">
        <v>581</v>
      </c>
      <c r="F975" s="27"/>
      <c r="G975" s="28">
        <f t="shared" si="47"/>
        <v>0</v>
      </c>
    </row>
    <row r="976" spans="2:7" outlineLevel="2" x14ac:dyDescent="0.3">
      <c r="B976" s="29"/>
      <c r="C976" s="16"/>
      <c r="D976" s="17"/>
      <c r="E976" s="18"/>
      <c r="F976" s="19"/>
      <c r="G976" s="20"/>
    </row>
    <row r="977" spans="2:11" outlineLevel="1" x14ac:dyDescent="0.3">
      <c r="B977" s="29"/>
      <c r="C977" s="16"/>
      <c r="D977" s="17"/>
      <c r="E977" s="18"/>
      <c r="F977" s="19"/>
      <c r="G977" s="20"/>
    </row>
    <row r="978" spans="2:11" ht="30" customHeight="1" x14ac:dyDescent="0.3">
      <c r="B978" s="10">
        <v>3</v>
      </c>
      <c r="C978" s="11" t="s">
        <v>1097</v>
      </c>
      <c r="D978" s="12"/>
      <c r="E978" s="13"/>
      <c r="F978" s="12"/>
      <c r="G978" s="14">
        <f>+SUBTOTAL(9,G979:G1095)</f>
        <v>0</v>
      </c>
    </row>
    <row r="979" spans="2:11" outlineLevel="1" x14ac:dyDescent="0.3">
      <c r="B979" s="29">
        <v>3.1</v>
      </c>
      <c r="C979" s="16" t="s">
        <v>5</v>
      </c>
      <c r="D979" s="17"/>
      <c r="E979" s="18"/>
      <c r="F979" s="19"/>
      <c r="G979" s="20">
        <f>SUBTOTAL(9,G980:G1005)</f>
        <v>0</v>
      </c>
      <c r="I979" s="5"/>
      <c r="J979" s="5"/>
      <c r="K979" s="5"/>
    </row>
    <row r="980" spans="2:11" outlineLevel="2" x14ac:dyDescent="0.3">
      <c r="B980" s="21" t="s">
        <v>556</v>
      </c>
      <c r="C980" s="22" t="s">
        <v>1075</v>
      </c>
      <c r="D980" s="23"/>
      <c r="E980" s="24"/>
      <c r="F980" s="25"/>
      <c r="G980" s="26">
        <f>+SUBTOTAL(9,G981:G993)</f>
        <v>0</v>
      </c>
      <c r="H980" s="5"/>
      <c r="I980" s="5"/>
      <c r="J980" s="5"/>
    </row>
    <row r="981" spans="2:11" ht="27.6" outlineLevel="3" x14ac:dyDescent="0.3">
      <c r="B981" s="17" t="s">
        <v>558</v>
      </c>
      <c r="C981" s="61" t="s">
        <v>1721</v>
      </c>
      <c r="D981" s="62">
        <v>4</v>
      </c>
      <c r="E981" s="18" t="s">
        <v>3</v>
      </c>
      <c r="F981" s="39"/>
      <c r="G981" s="28">
        <f t="shared" ref="G981:G1003" si="48">ROUNDUP(D981*F981,2)</f>
        <v>0</v>
      </c>
      <c r="H981" s="5"/>
      <c r="I981" s="5"/>
      <c r="J981" s="5"/>
    </row>
    <row r="982" spans="2:11" ht="27.6" outlineLevel="3" x14ac:dyDescent="0.3">
      <c r="B982" s="17" t="s">
        <v>560</v>
      </c>
      <c r="C982" s="61" t="s">
        <v>1722</v>
      </c>
      <c r="D982" s="62">
        <v>4</v>
      </c>
      <c r="E982" s="18" t="s">
        <v>3</v>
      </c>
      <c r="F982" s="39"/>
      <c r="G982" s="28">
        <f t="shared" si="48"/>
        <v>0</v>
      </c>
      <c r="H982" s="5"/>
      <c r="I982" s="5"/>
      <c r="J982" s="5"/>
    </row>
    <row r="983" spans="2:11" ht="41.4" outlineLevel="3" x14ac:dyDescent="0.3">
      <c r="B983" s="17" t="s">
        <v>1113</v>
      </c>
      <c r="C983" s="61" t="s">
        <v>1723</v>
      </c>
      <c r="D983" s="62">
        <v>4</v>
      </c>
      <c r="E983" s="18" t="s">
        <v>3</v>
      </c>
      <c r="F983" s="39"/>
      <c r="G983" s="28">
        <f t="shared" si="48"/>
        <v>0</v>
      </c>
      <c r="H983" s="5"/>
      <c r="I983" s="5"/>
      <c r="J983" s="5"/>
    </row>
    <row r="984" spans="2:11" ht="27.6" outlineLevel="3" x14ac:dyDescent="0.3">
      <c r="B984" s="17" t="s">
        <v>1114</v>
      </c>
      <c r="C984" s="61" t="s">
        <v>1724</v>
      </c>
      <c r="D984" s="62">
        <v>4</v>
      </c>
      <c r="E984" s="18" t="s">
        <v>3</v>
      </c>
      <c r="F984" s="39"/>
      <c r="G984" s="28">
        <f t="shared" si="48"/>
        <v>0</v>
      </c>
      <c r="H984" s="5"/>
      <c r="I984" s="5"/>
      <c r="J984" s="5"/>
    </row>
    <row r="985" spans="2:11" ht="27.6" outlineLevel="3" x14ac:dyDescent="0.3">
      <c r="B985" s="17" t="s">
        <v>1115</v>
      </c>
      <c r="C985" s="61" t="s">
        <v>1725</v>
      </c>
      <c r="D985" s="62">
        <v>4</v>
      </c>
      <c r="E985" s="18" t="s">
        <v>3</v>
      </c>
      <c r="F985" s="63"/>
      <c r="G985" s="28">
        <f t="shared" si="48"/>
        <v>0</v>
      </c>
      <c r="H985" s="5"/>
      <c r="I985" s="5"/>
      <c r="J985" s="5"/>
    </row>
    <row r="986" spans="2:11" ht="27.6" outlineLevel="3" x14ac:dyDescent="0.3">
      <c r="B986" s="17" t="s">
        <v>1116</v>
      </c>
      <c r="C986" s="61" t="s">
        <v>1726</v>
      </c>
      <c r="D986" s="47">
        <v>1</v>
      </c>
      <c r="E986" s="18" t="s">
        <v>3</v>
      </c>
      <c r="F986" s="39"/>
      <c r="G986" s="28">
        <f t="shared" si="48"/>
        <v>0</v>
      </c>
      <c r="H986" s="5"/>
      <c r="I986" s="5"/>
      <c r="J986" s="5"/>
    </row>
    <row r="987" spans="2:11" ht="41.4" outlineLevel="3" x14ac:dyDescent="0.3">
      <c r="B987" s="17" t="s">
        <v>1117</v>
      </c>
      <c r="C987" s="61" t="s">
        <v>1727</v>
      </c>
      <c r="D987" s="62">
        <v>4</v>
      </c>
      <c r="E987" s="18" t="s">
        <v>3</v>
      </c>
      <c r="F987" s="39"/>
      <c r="G987" s="28">
        <f t="shared" si="48"/>
        <v>0</v>
      </c>
      <c r="H987" s="5"/>
      <c r="I987" s="5"/>
      <c r="J987" s="5"/>
    </row>
    <row r="988" spans="2:11" ht="27.6" outlineLevel="3" x14ac:dyDescent="0.3">
      <c r="B988" s="17" t="s">
        <v>1118</v>
      </c>
      <c r="C988" s="61" t="s">
        <v>1728</v>
      </c>
      <c r="D988" s="62">
        <v>8</v>
      </c>
      <c r="E988" s="18" t="s">
        <v>3</v>
      </c>
      <c r="F988" s="63"/>
      <c r="G988" s="28">
        <f t="shared" si="48"/>
        <v>0</v>
      </c>
      <c r="H988" s="5"/>
      <c r="I988" s="5"/>
      <c r="J988" s="5"/>
    </row>
    <row r="989" spans="2:11" ht="27.6" outlineLevel="3" x14ac:dyDescent="0.3">
      <c r="B989" s="17" t="s">
        <v>1119</v>
      </c>
      <c r="C989" s="61" t="s">
        <v>1729</v>
      </c>
      <c r="D989" s="47">
        <v>1</v>
      </c>
      <c r="E989" s="18" t="s">
        <v>3</v>
      </c>
      <c r="F989" s="39"/>
      <c r="G989" s="28">
        <f t="shared" si="48"/>
        <v>0</v>
      </c>
      <c r="H989" s="5"/>
      <c r="I989" s="5"/>
      <c r="J989" s="5"/>
    </row>
    <row r="990" spans="2:11" ht="69" outlineLevel="3" x14ac:dyDescent="0.3">
      <c r="B990" s="17" t="s">
        <v>1120</v>
      </c>
      <c r="C990" s="61" t="s">
        <v>1730</v>
      </c>
      <c r="D990" s="47">
        <v>1</v>
      </c>
      <c r="E990" s="18" t="s">
        <v>3</v>
      </c>
      <c r="F990" s="19"/>
      <c r="G990" s="28">
        <f t="shared" si="48"/>
        <v>0</v>
      </c>
      <c r="H990" s="5"/>
      <c r="I990" s="5"/>
      <c r="J990" s="5"/>
    </row>
    <row r="991" spans="2:11" ht="69" outlineLevel="3" x14ac:dyDescent="0.3">
      <c r="B991" s="17" t="s">
        <v>1121</v>
      </c>
      <c r="C991" s="61" t="s">
        <v>1731</v>
      </c>
      <c r="D991" s="62">
        <v>4</v>
      </c>
      <c r="E991" s="18" t="s">
        <v>3</v>
      </c>
      <c r="F991" s="19"/>
      <c r="G991" s="28">
        <f t="shared" si="48"/>
        <v>0</v>
      </c>
      <c r="H991" s="5"/>
      <c r="I991" s="5"/>
      <c r="J991" s="5"/>
    </row>
    <row r="992" spans="2:11" ht="69" outlineLevel="3" x14ac:dyDescent="0.3">
      <c r="B992" s="17" t="s">
        <v>1122</v>
      </c>
      <c r="C992" s="61" t="s">
        <v>1732</v>
      </c>
      <c r="D992" s="62">
        <v>1</v>
      </c>
      <c r="E992" s="18" t="s">
        <v>3</v>
      </c>
      <c r="F992" s="19"/>
      <c r="G992" s="28">
        <f t="shared" si="48"/>
        <v>0</v>
      </c>
      <c r="H992" s="5"/>
      <c r="I992" s="5"/>
      <c r="J992" s="5"/>
    </row>
    <row r="993" spans="2:11" ht="27.6" outlineLevel="3" x14ac:dyDescent="0.3">
      <c r="B993" s="17" t="s">
        <v>1123</v>
      </c>
      <c r="C993" s="61" t="s">
        <v>1733</v>
      </c>
      <c r="D993" s="62">
        <v>2</v>
      </c>
      <c r="E993" s="18" t="s">
        <v>3</v>
      </c>
      <c r="F993" s="39"/>
      <c r="G993" s="28">
        <f t="shared" si="48"/>
        <v>0</v>
      </c>
      <c r="H993" s="5"/>
      <c r="I993" s="5"/>
      <c r="J993" s="5"/>
    </row>
    <row r="994" spans="2:11" outlineLevel="2" x14ac:dyDescent="0.3">
      <c r="B994" s="21" t="s">
        <v>562</v>
      </c>
      <c r="C994" s="22" t="s">
        <v>1074</v>
      </c>
      <c r="D994" s="23"/>
      <c r="E994" s="24"/>
      <c r="F994" s="25"/>
      <c r="G994" s="26">
        <f>+SUBTOTAL(9,G995:G999)</f>
        <v>0</v>
      </c>
      <c r="H994" s="5"/>
      <c r="I994" s="5"/>
      <c r="J994" s="5"/>
    </row>
    <row r="995" spans="2:11" ht="27.6" outlineLevel="3" x14ac:dyDescent="0.3">
      <c r="B995" s="17" t="s">
        <v>564</v>
      </c>
      <c r="C995" s="61" t="s">
        <v>1734</v>
      </c>
      <c r="D995" s="62">
        <v>0.97199999999999998</v>
      </c>
      <c r="E995" s="18" t="s">
        <v>10</v>
      </c>
      <c r="F995" s="19"/>
      <c r="G995" s="28">
        <f t="shared" si="48"/>
        <v>0</v>
      </c>
      <c r="H995" s="5"/>
      <c r="I995" s="5"/>
      <c r="J995" s="5"/>
    </row>
    <row r="996" spans="2:11" ht="27.6" outlineLevel="3" x14ac:dyDescent="0.3">
      <c r="B996" s="17" t="s">
        <v>566</v>
      </c>
      <c r="C996" s="61" t="s">
        <v>1735</v>
      </c>
      <c r="D996" s="62">
        <v>2.8440000000000003</v>
      </c>
      <c r="E996" s="18" t="s">
        <v>10</v>
      </c>
      <c r="F996" s="19"/>
      <c r="G996" s="28">
        <f t="shared" si="48"/>
        <v>0</v>
      </c>
      <c r="H996" s="5"/>
      <c r="I996" s="5"/>
      <c r="J996" s="5"/>
    </row>
    <row r="997" spans="2:11" ht="82.8" outlineLevel="3" x14ac:dyDescent="0.3">
      <c r="B997" s="17" t="s">
        <v>1124</v>
      </c>
      <c r="C997" s="64" t="s">
        <v>1736</v>
      </c>
      <c r="D997" s="65">
        <f>2.525*7.75-(2*2.47*2)</f>
        <v>9.6887499999999971</v>
      </c>
      <c r="E997" s="40" t="s">
        <v>10</v>
      </c>
      <c r="F997" s="19"/>
      <c r="G997" s="28">
        <f t="shared" si="48"/>
        <v>0</v>
      </c>
      <c r="H997" s="5"/>
      <c r="I997" s="5"/>
      <c r="J997" s="5"/>
    </row>
    <row r="998" spans="2:11" ht="27.6" outlineLevel="3" x14ac:dyDescent="0.3">
      <c r="B998" s="17" t="s">
        <v>1125</v>
      </c>
      <c r="C998" s="61" t="s">
        <v>502</v>
      </c>
      <c r="D998" s="47">
        <v>5.0599999999999996</v>
      </c>
      <c r="E998" s="18" t="s">
        <v>10</v>
      </c>
      <c r="F998" s="19"/>
      <c r="G998" s="28">
        <f t="shared" si="48"/>
        <v>0</v>
      </c>
      <c r="H998" s="5"/>
      <c r="I998" s="5"/>
      <c r="J998" s="5"/>
    </row>
    <row r="999" spans="2:11" ht="55.2" outlineLevel="3" x14ac:dyDescent="0.3">
      <c r="B999" s="17" t="s">
        <v>1126</v>
      </c>
      <c r="C999" s="61" t="s">
        <v>1737</v>
      </c>
      <c r="D999" s="47">
        <f>(2.525*7.75 -(2*2.47))*3</f>
        <v>43.88624999999999</v>
      </c>
      <c r="E999" s="18" t="s">
        <v>10</v>
      </c>
      <c r="F999" s="19"/>
      <c r="G999" s="28">
        <f t="shared" si="48"/>
        <v>0</v>
      </c>
      <c r="H999" s="5"/>
      <c r="I999" s="5"/>
      <c r="J999" s="5"/>
    </row>
    <row r="1000" spans="2:11" outlineLevel="2" x14ac:dyDescent="0.3">
      <c r="B1000" s="21" t="s">
        <v>568</v>
      </c>
      <c r="C1000" s="22" t="s">
        <v>1076</v>
      </c>
      <c r="D1000" s="23"/>
      <c r="E1000" s="24"/>
      <c r="F1000" s="25"/>
      <c r="G1000" s="26">
        <f>+SUBTOTAL(9,G1001:G1004)</f>
        <v>0</v>
      </c>
      <c r="H1000" s="5"/>
      <c r="I1000" s="5"/>
      <c r="J1000" s="5"/>
    </row>
    <row r="1001" spans="2:11" ht="82.8" outlineLevel="3" x14ac:dyDescent="0.3">
      <c r="B1001" s="17" t="s">
        <v>570</v>
      </c>
      <c r="C1001" s="61" t="s">
        <v>1738</v>
      </c>
      <c r="D1001" s="47">
        <f>1.16*3.02*3</f>
        <v>10.509599999999999</v>
      </c>
      <c r="E1001" s="18" t="s">
        <v>10</v>
      </c>
      <c r="F1001" s="19"/>
      <c r="G1001" s="28">
        <f t="shared" si="48"/>
        <v>0</v>
      </c>
      <c r="H1001" s="5"/>
      <c r="I1001" s="5"/>
      <c r="J1001" s="5"/>
    </row>
    <row r="1002" spans="2:11" ht="55.2" outlineLevel="3" x14ac:dyDescent="0.3">
      <c r="B1002" s="17" t="s">
        <v>572</v>
      </c>
      <c r="C1002" s="16" t="s">
        <v>507</v>
      </c>
      <c r="D1002" s="17">
        <f>1.5*3.08*4+4.4</f>
        <v>22.880000000000003</v>
      </c>
      <c r="E1002" s="18" t="s">
        <v>10</v>
      </c>
      <c r="F1002" s="27"/>
      <c r="G1002" s="28">
        <f t="shared" si="48"/>
        <v>0</v>
      </c>
      <c r="H1002" s="5"/>
      <c r="I1002" s="5"/>
      <c r="J1002" s="5"/>
    </row>
    <row r="1003" spans="2:11" ht="55.2" outlineLevel="3" x14ac:dyDescent="0.3">
      <c r="B1003" s="17" t="s">
        <v>574</v>
      </c>
      <c r="C1003" s="16" t="s">
        <v>509</v>
      </c>
      <c r="D1003" s="17">
        <v>6</v>
      </c>
      <c r="E1003" s="18" t="s">
        <v>3</v>
      </c>
      <c r="F1003" s="27"/>
      <c r="G1003" s="28">
        <f t="shared" si="48"/>
        <v>0</v>
      </c>
      <c r="H1003" s="5"/>
      <c r="I1003" s="5"/>
      <c r="J1003" s="5"/>
    </row>
    <row r="1004" spans="2:11" outlineLevel="3" x14ac:dyDescent="0.3">
      <c r="B1004" s="29"/>
      <c r="C1004" s="16"/>
      <c r="D1004" s="17"/>
      <c r="E1004" s="18"/>
      <c r="F1004" s="19"/>
      <c r="G1004" s="20"/>
      <c r="I1004" s="5"/>
      <c r="J1004" s="5"/>
      <c r="K1004" s="5"/>
    </row>
    <row r="1005" spans="2:11" outlineLevel="2" x14ac:dyDescent="0.3">
      <c r="B1005" s="29"/>
      <c r="C1005" s="16"/>
      <c r="D1005" s="17"/>
      <c r="E1005" s="18"/>
      <c r="F1005" s="19"/>
      <c r="G1005" s="20"/>
      <c r="I1005" s="5"/>
      <c r="J1005" s="5"/>
      <c r="K1005" s="5"/>
    </row>
    <row r="1006" spans="2:11" outlineLevel="1" x14ac:dyDescent="0.3">
      <c r="B1006" s="29">
        <v>3.2</v>
      </c>
      <c r="C1006" s="16" t="s">
        <v>101</v>
      </c>
      <c r="D1006" s="17"/>
      <c r="E1006" s="18"/>
      <c r="F1006" s="19"/>
      <c r="G1006" s="20">
        <f>+SUBTOTAL(9,G1007:G1042)</f>
        <v>0</v>
      </c>
    </row>
    <row r="1007" spans="2:11" outlineLevel="2" x14ac:dyDescent="0.3">
      <c r="B1007" s="21" t="s">
        <v>577</v>
      </c>
      <c r="C1007" s="22" t="s">
        <v>1075</v>
      </c>
      <c r="D1007" s="23"/>
      <c r="E1007" s="24"/>
      <c r="F1007" s="25"/>
      <c r="G1007" s="26">
        <f>+SUBTOTAL(9,G1008:G1023)</f>
        <v>0</v>
      </c>
    </row>
    <row r="1008" spans="2:11" ht="27.6" outlineLevel="3" x14ac:dyDescent="0.3">
      <c r="B1008" s="17" t="s">
        <v>579</v>
      </c>
      <c r="C1008" s="61" t="s">
        <v>1739</v>
      </c>
      <c r="D1008" s="62">
        <v>1</v>
      </c>
      <c r="E1008" s="66" t="s">
        <v>3</v>
      </c>
      <c r="F1008" s="19"/>
      <c r="G1008" s="28">
        <f t="shared" ref="G1008:G1023" si="49">ROUNDUP(D1008*F1008,2)</f>
        <v>0</v>
      </c>
    </row>
    <row r="1009" spans="2:7" ht="27.6" outlineLevel="3" x14ac:dyDescent="0.3">
      <c r="B1009" s="17" t="s">
        <v>582</v>
      </c>
      <c r="C1009" s="61" t="s">
        <v>1740</v>
      </c>
      <c r="D1009" s="62">
        <v>2</v>
      </c>
      <c r="E1009" s="66" t="s">
        <v>3</v>
      </c>
      <c r="F1009" s="19"/>
      <c r="G1009" s="28">
        <f t="shared" si="49"/>
        <v>0</v>
      </c>
    </row>
    <row r="1010" spans="2:7" ht="27.6" outlineLevel="3" x14ac:dyDescent="0.3">
      <c r="B1010" s="17" t="s">
        <v>1127</v>
      </c>
      <c r="C1010" s="61" t="s">
        <v>1741</v>
      </c>
      <c r="D1010" s="62">
        <v>1</v>
      </c>
      <c r="E1010" s="66" t="s">
        <v>3</v>
      </c>
      <c r="F1010" s="39"/>
      <c r="G1010" s="28">
        <f t="shared" si="49"/>
        <v>0</v>
      </c>
    </row>
    <row r="1011" spans="2:7" ht="27.6" outlineLevel="3" x14ac:dyDescent="0.3">
      <c r="B1011" s="17" t="s">
        <v>1128</v>
      </c>
      <c r="C1011" s="61" t="s">
        <v>1742</v>
      </c>
      <c r="D1011" s="62">
        <v>1</v>
      </c>
      <c r="E1011" s="66" t="s">
        <v>3</v>
      </c>
      <c r="F1011" s="39"/>
      <c r="G1011" s="28">
        <f t="shared" si="49"/>
        <v>0</v>
      </c>
    </row>
    <row r="1012" spans="2:7" ht="55.2" outlineLevel="3" x14ac:dyDescent="0.3">
      <c r="B1012" s="17" t="s">
        <v>1129</v>
      </c>
      <c r="C1012" s="61" t="s">
        <v>1743</v>
      </c>
      <c r="D1012" s="62">
        <v>1</v>
      </c>
      <c r="E1012" s="66" t="s">
        <v>3</v>
      </c>
      <c r="F1012" s="39"/>
      <c r="G1012" s="28">
        <f t="shared" si="49"/>
        <v>0</v>
      </c>
    </row>
    <row r="1013" spans="2:7" ht="41.4" outlineLevel="3" x14ac:dyDescent="0.3">
      <c r="B1013" s="17" t="s">
        <v>1130</v>
      </c>
      <c r="C1013" s="61" t="s">
        <v>1744</v>
      </c>
      <c r="D1013" s="62">
        <v>1</v>
      </c>
      <c r="E1013" s="66" t="s">
        <v>3</v>
      </c>
      <c r="F1013" s="39"/>
      <c r="G1013" s="28">
        <f t="shared" si="49"/>
        <v>0</v>
      </c>
    </row>
    <row r="1014" spans="2:7" ht="27.6" outlineLevel="3" x14ac:dyDescent="0.3">
      <c r="B1014" s="17" t="s">
        <v>1131</v>
      </c>
      <c r="C1014" s="61" t="s">
        <v>1745</v>
      </c>
      <c r="D1014" s="62">
        <v>1</v>
      </c>
      <c r="E1014" s="66" t="s">
        <v>3</v>
      </c>
      <c r="F1014" s="39"/>
      <c r="G1014" s="28">
        <f t="shared" si="49"/>
        <v>0</v>
      </c>
    </row>
    <row r="1015" spans="2:7" ht="27.6" outlineLevel="3" x14ac:dyDescent="0.3">
      <c r="B1015" s="17" t="s">
        <v>1132</v>
      </c>
      <c r="C1015" s="61" t="s">
        <v>1746</v>
      </c>
      <c r="D1015" s="62">
        <v>1</v>
      </c>
      <c r="E1015" s="66" t="s">
        <v>3</v>
      </c>
      <c r="F1015" s="39"/>
      <c r="G1015" s="28">
        <f t="shared" si="49"/>
        <v>0</v>
      </c>
    </row>
    <row r="1016" spans="2:7" ht="27.6" outlineLevel="3" x14ac:dyDescent="0.3">
      <c r="B1016" s="17" t="s">
        <v>1133</v>
      </c>
      <c r="C1016" s="61" t="s">
        <v>1728</v>
      </c>
      <c r="D1016" s="62">
        <v>1</v>
      </c>
      <c r="E1016" s="66" t="s">
        <v>3</v>
      </c>
      <c r="F1016" s="39"/>
      <c r="G1016" s="28">
        <f t="shared" si="49"/>
        <v>0</v>
      </c>
    </row>
    <row r="1017" spans="2:7" ht="27.6" outlineLevel="3" x14ac:dyDescent="0.3">
      <c r="B1017" s="17" t="s">
        <v>1134</v>
      </c>
      <c r="C1017" s="61" t="s">
        <v>1747</v>
      </c>
      <c r="D1017" s="62">
        <v>1</v>
      </c>
      <c r="E1017" s="66" t="s">
        <v>3</v>
      </c>
      <c r="F1017" s="39"/>
      <c r="G1017" s="28">
        <f t="shared" si="49"/>
        <v>0</v>
      </c>
    </row>
    <row r="1018" spans="2:7" ht="27.6" outlineLevel="3" x14ac:dyDescent="0.3">
      <c r="B1018" s="17" t="s">
        <v>1135</v>
      </c>
      <c r="C1018" s="61" t="s">
        <v>1748</v>
      </c>
      <c r="D1018" s="62">
        <v>1</v>
      </c>
      <c r="E1018" s="66" t="s">
        <v>3</v>
      </c>
      <c r="F1018" s="39"/>
      <c r="G1018" s="28">
        <f t="shared" si="49"/>
        <v>0</v>
      </c>
    </row>
    <row r="1019" spans="2:7" ht="27.6" outlineLevel="3" x14ac:dyDescent="0.3">
      <c r="B1019" s="17" t="s">
        <v>1136</v>
      </c>
      <c r="C1019" s="61" t="s">
        <v>1749</v>
      </c>
      <c r="D1019" s="62">
        <v>2</v>
      </c>
      <c r="E1019" s="66" t="s">
        <v>3</v>
      </c>
      <c r="F1019" s="39"/>
      <c r="G1019" s="28">
        <f t="shared" si="49"/>
        <v>0</v>
      </c>
    </row>
    <row r="1020" spans="2:7" ht="27.6" outlineLevel="3" x14ac:dyDescent="0.3">
      <c r="B1020" s="17" t="s">
        <v>1137</v>
      </c>
      <c r="C1020" s="61" t="s">
        <v>1750</v>
      </c>
      <c r="D1020" s="47">
        <v>1</v>
      </c>
      <c r="E1020" s="66" t="s">
        <v>3</v>
      </c>
      <c r="F1020" s="39"/>
      <c r="G1020" s="28">
        <f t="shared" si="49"/>
        <v>0</v>
      </c>
    </row>
    <row r="1021" spans="2:7" ht="69" outlineLevel="3" x14ac:dyDescent="0.3">
      <c r="B1021" s="17" t="s">
        <v>1138</v>
      </c>
      <c r="C1021" s="61" t="s">
        <v>1751</v>
      </c>
      <c r="D1021" s="47">
        <v>2</v>
      </c>
      <c r="E1021" s="66" t="s">
        <v>3</v>
      </c>
      <c r="F1021" s="19"/>
      <c r="G1021" s="28">
        <f t="shared" si="49"/>
        <v>0</v>
      </c>
    </row>
    <row r="1022" spans="2:7" ht="69" outlineLevel="3" x14ac:dyDescent="0.3">
      <c r="B1022" s="17" t="s">
        <v>1139</v>
      </c>
      <c r="C1022" s="61" t="s">
        <v>1752</v>
      </c>
      <c r="D1022" s="47">
        <v>1</v>
      </c>
      <c r="E1022" s="66" t="s">
        <v>3</v>
      </c>
      <c r="F1022" s="19"/>
      <c r="G1022" s="28">
        <f t="shared" si="49"/>
        <v>0</v>
      </c>
    </row>
    <row r="1023" spans="2:7" ht="27.6" outlineLevel="3" x14ac:dyDescent="0.3">
      <c r="B1023" s="17" t="s">
        <v>1140</v>
      </c>
      <c r="C1023" s="61" t="s">
        <v>1753</v>
      </c>
      <c r="D1023" s="62">
        <v>1</v>
      </c>
      <c r="E1023" s="66" t="s">
        <v>3</v>
      </c>
      <c r="F1023" s="39"/>
      <c r="G1023" s="28">
        <f t="shared" si="49"/>
        <v>0</v>
      </c>
    </row>
    <row r="1024" spans="2:7" outlineLevel="2" x14ac:dyDescent="0.3">
      <c r="B1024" s="21" t="s">
        <v>584</v>
      </c>
      <c r="C1024" s="22" t="s">
        <v>1074</v>
      </c>
      <c r="D1024" s="23"/>
      <c r="E1024" s="24"/>
      <c r="F1024" s="25"/>
      <c r="G1024" s="26">
        <f>+SUBTOTAL(9,G1025:G1039)</f>
        <v>0</v>
      </c>
    </row>
    <row r="1025" spans="2:7" ht="82.8" outlineLevel="3" x14ac:dyDescent="0.3">
      <c r="B1025" s="17" t="s">
        <v>586</v>
      </c>
      <c r="C1025" s="61" t="s">
        <v>530</v>
      </c>
      <c r="D1025" s="47">
        <f>(3.25+13.72+20.19+4.81+8.66+5.51+3.06)*2.915 - (2*2.8*2)-(2*2.8)</f>
        <v>155.768</v>
      </c>
      <c r="E1025" s="66" t="s">
        <v>10</v>
      </c>
      <c r="F1025" s="19"/>
      <c r="G1025" s="28">
        <f t="shared" ref="G1025:G1039" si="50">ROUNDUP(D1025*F1025,2)</f>
        <v>0</v>
      </c>
    </row>
    <row r="1026" spans="2:7" ht="55.2" outlineLevel="3" x14ac:dyDescent="0.3">
      <c r="B1026" s="17" t="s">
        <v>588</v>
      </c>
      <c r="C1026" s="16" t="s">
        <v>532</v>
      </c>
      <c r="D1026" s="47">
        <f>(1.42+1.42+3.03+3.03)*2.57 + (3.03*1.42) - (0.9*2.1)</f>
        <v>25.285599999999992</v>
      </c>
      <c r="E1026" s="66" t="s">
        <v>10</v>
      </c>
      <c r="F1026" s="19"/>
      <c r="G1026" s="28">
        <f t="shared" si="50"/>
        <v>0</v>
      </c>
    </row>
    <row r="1027" spans="2:7" ht="27.6" outlineLevel="3" x14ac:dyDescent="0.3">
      <c r="B1027" s="17" t="s">
        <v>591</v>
      </c>
      <c r="C1027" s="61" t="s">
        <v>1754</v>
      </c>
      <c r="D1027" s="47">
        <v>2.1</v>
      </c>
      <c r="E1027" s="66" t="s">
        <v>10</v>
      </c>
      <c r="F1027" s="19"/>
      <c r="G1027" s="28">
        <f t="shared" si="50"/>
        <v>0</v>
      </c>
    </row>
    <row r="1028" spans="2:7" ht="27.6" outlineLevel="3" x14ac:dyDescent="0.3">
      <c r="B1028" s="17" t="s">
        <v>593</v>
      </c>
      <c r="C1028" s="61" t="s">
        <v>1755</v>
      </c>
      <c r="D1028" s="47">
        <v>2.4970000000000003</v>
      </c>
      <c r="E1028" s="66" t="s">
        <v>10</v>
      </c>
      <c r="F1028" s="19"/>
      <c r="G1028" s="28">
        <f t="shared" si="50"/>
        <v>0</v>
      </c>
    </row>
    <row r="1029" spans="2:7" ht="27.6" outlineLevel="3" x14ac:dyDescent="0.3">
      <c r="B1029" s="17" t="s">
        <v>595</v>
      </c>
      <c r="C1029" s="61" t="s">
        <v>1756</v>
      </c>
      <c r="D1029" s="47">
        <v>1.9295</v>
      </c>
      <c r="E1029" s="66" t="s">
        <v>10</v>
      </c>
      <c r="F1029" s="19"/>
      <c r="G1029" s="28">
        <f t="shared" si="50"/>
        <v>0</v>
      </c>
    </row>
    <row r="1030" spans="2:7" ht="27.6" outlineLevel="3" x14ac:dyDescent="0.3">
      <c r="B1030" s="17" t="s">
        <v>597</v>
      </c>
      <c r="C1030" s="61" t="s">
        <v>1757</v>
      </c>
      <c r="D1030" s="47">
        <v>1.92</v>
      </c>
      <c r="E1030" s="66" t="s">
        <v>10</v>
      </c>
      <c r="F1030" s="19"/>
      <c r="G1030" s="28">
        <f t="shared" si="50"/>
        <v>0</v>
      </c>
    </row>
    <row r="1031" spans="2:7" ht="55.2" outlineLevel="3" x14ac:dyDescent="0.3">
      <c r="B1031" s="17" t="s">
        <v>599</v>
      </c>
      <c r="C1031" s="61" t="s">
        <v>1758</v>
      </c>
      <c r="D1031" s="47">
        <v>0.76300000000000001</v>
      </c>
      <c r="E1031" s="66" t="s">
        <v>10</v>
      </c>
      <c r="F1031" s="19"/>
      <c r="G1031" s="28">
        <f t="shared" si="50"/>
        <v>0</v>
      </c>
    </row>
    <row r="1032" spans="2:7" ht="55.2" outlineLevel="3" x14ac:dyDescent="0.3">
      <c r="B1032" s="17" t="s">
        <v>601</v>
      </c>
      <c r="C1032" s="61" t="s">
        <v>1759</v>
      </c>
      <c r="D1032" s="47">
        <v>0.73499999999999999</v>
      </c>
      <c r="E1032" s="66" t="s">
        <v>10</v>
      </c>
      <c r="F1032" s="19"/>
      <c r="G1032" s="28">
        <f t="shared" si="50"/>
        <v>0</v>
      </c>
    </row>
    <row r="1033" spans="2:7" ht="55.2" outlineLevel="3" x14ac:dyDescent="0.3">
      <c r="B1033" s="17" t="s">
        <v>603</v>
      </c>
      <c r="C1033" s="61" t="s">
        <v>1760</v>
      </c>
      <c r="D1033" s="47">
        <f>2*1.05*0.35</f>
        <v>0.73499999999999999</v>
      </c>
      <c r="E1033" s="66" t="s">
        <v>10</v>
      </c>
      <c r="F1033" s="19"/>
      <c r="G1033" s="28">
        <f t="shared" si="50"/>
        <v>0</v>
      </c>
    </row>
    <row r="1034" spans="2:7" ht="27.6" outlineLevel="3" x14ac:dyDescent="0.3">
      <c r="B1034" s="17" t="s">
        <v>605</v>
      </c>
      <c r="C1034" s="61" t="s">
        <v>1761</v>
      </c>
      <c r="D1034" s="47">
        <v>2.5299999999999998</v>
      </c>
      <c r="E1034" s="66" t="s">
        <v>10</v>
      </c>
      <c r="F1034" s="19"/>
      <c r="G1034" s="28">
        <f t="shared" si="50"/>
        <v>0</v>
      </c>
    </row>
    <row r="1035" spans="2:7" ht="27.6" outlineLevel="3" x14ac:dyDescent="0.3">
      <c r="B1035" s="17" t="s">
        <v>607</v>
      </c>
      <c r="C1035" s="61" t="s">
        <v>1762</v>
      </c>
      <c r="D1035" s="47">
        <v>2.5299999999999998</v>
      </c>
      <c r="E1035" s="66" t="s">
        <v>10</v>
      </c>
      <c r="F1035" s="19"/>
      <c r="G1035" s="28">
        <f t="shared" si="50"/>
        <v>0</v>
      </c>
    </row>
    <row r="1036" spans="2:7" ht="27.6" outlineLevel="3" x14ac:dyDescent="0.3">
      <c r="B1036" s="17" t="s">
        <v>609</v>
      </c>
      <c r="C1036" s="61" t="s">
        <v>1763</v>
      </c>
      <c r="D1036" s="47">
        <v>0.96599999999999986</v>
      </c>
      <c r="E1036" s="66" t="s">
        <v>10</v>
      </c>
      <c r="F1036" s="19"/>
      <c r="G1036" s="28">
        <f t="shared" si="50"/>
        <v>0</v>
      </c>
    </row>
    <row r="1037" spans="2:7" ht="27.6" outlineLevel="3" x14ac:dyDescent="0.3">
      <c r="B1037" s="17" t="s">
        <v>611</v>
      </c>
      <c r="C1037" s="61" t="s">
        <v>1764</v>
      </c>
      <c r="D1037" s="47">
        <v>13.339999999999998</v>
      </c>
      <c r="E1037" s="66" t="s">
        <v>10</v>
      </c>
      <c r="F1037" s="19"/>
      <c r="G1037" s="28">
        <f t="shared" si="50"/>
        <v>0</v>
      </c>
    </row>
    <row r="1038" spans="2:7" ht="27.6" outlineLevel="3" x14ac:dyDescent="0.3">
      <c r="B1038" s="17" t="s">
        <v>1141</v>
      </c>
      <c r="C1038" s="61" t="s">
        <v>1765</v>
      </c>
      <c r="D1038" s="47">
        <v>1.081</v>
      </c>
      <c r="E1038" s="66" t="s">
        <v>10</v>
      </c>
      <c r="F1038" s="19"/>
      <c r="G1038" s="28">
        <f t="shared" si="50"/>
        <v>0</v>
      </c>
    </row>
    <row r="1039" spans="2:7" ht="27.6" outlineLevel="3" x14ac:dyDescent="0.3">
      <c r="B1039" s="17" t="s">
        <v>1142</v>
      </c>
      <c r="C1039" s="61" t="s">
        <v>1766</v>
      </c>
      <c r="D1039" s="47">
        <v>1.6099999999999999</v>
      </c>
      <c r="E1039" s="66" t="s">
        <v>10</v>
      </c>
      <c r="F1039" s="19"/>
      <c r="G1039" s="28">
        <f t="shared" si="50"/>
        <v>0</v>
      </c>
    </row>
    <row r="1040" spans="2:7" outlineLevel="2" x14ac:dyDescent="0.3">
      <c r="B1040" s="21" t="s">
        <v>1143</v>
      </c>
      <c r="C1040" s="22" t="s">
        <v>1076</v>
      </c>
      <c r="D1040" s="23"/>
      <c r="E1040" s="24"/>
      <c r="F1040" s="25"/>
      <c r="G1040" s="26">
        <f>+SUBTOTAL(9,G1041:G1041)</f>
        <v>0</v>
      </c>
    </row>
    <row r="1041" spans="2:7" ht="82.8" outlineLevel="3" x14ac:dyDescent="0.3">
      <c r="B1041" s="17" t="s">
        <v>1144</v>
      </c>
      <c r="C1041" s="61" t="s">
        <v>1767</v>
      </c>
      <c r="D1041" s="47">
        <f>0.88*3.7</f>
        <v>3.2560000000000002</v>
      </c>
      <c r="E1041" s="66" t="s">
        <v>10</v>
      </c>
      <c r="F1041" s="19"/>
      <c r="G1041" s="28">
        <f t="shared" ref="G1041" si="51">ROUNDUP(D1041*F1041,2)</f>
        <v>0</v>
      </c>
    </row>
    <row r="1042" spans="2:7" outlineLevel="2" x14ac:dyDescent="0.3">
      <c r="B1042" s="67"/>
      <c r="C1042" s="68"/>
      <c r="D1042" s="69"/>
      <c r="E1042" s="70"/>
      <c r="F1042" s="52"/>
      <c r="G1042" s="60"/>
    </row>
    <row r="1043" spans="2:7" outlineLevel="1" x14ac:dyDescent="0.3">
      <c r="B1043" s="29">
        <v>3.3</v>
      </c>
      <c r="C1043" s="16" t="s">
        <v>549</v>
      </c>
      <c r="D1043" s="17"/>
      <c r="E1043" s="18"/>
      <c r="F1043" s="19"/>
      <c r="G1043" s="20">
        <f>+SUBTOTAL(9,G1044:G1069)</f>
        <v>0</v>
      </c>
    </row>
    <row r="1044" spans="2:7" outlineLevel="2" x14ac:dyDescent="0.3">
      <c r="B1044" s="21" t="s">
        <v>1145</v>
      </c>
      <c r="C1044" s="22" t="s">
        <v>1075</v>
      </c>
      <c r="D1044" s="23"/>
      <c r="E1044" s="24"/>
      <c r="F1044" s="25"/>
      <c r="G1044" s="26">
        <f>+SUBTOTAL(9,G1045:G1051)</f>
        <v>0</v>
      </c>
    </row>
    <row r="1045" spans="2:7" ht="27.6" outlineLevel="3" x14ac:dyDescent="0.3">
      <c r="B1045" s="17" t="s">
        <v>1146</v>
      </c>
      <c r="C1045" s="61" t="s">
        <v>1742</v>
      </c>
      <c r="D1045" s="62">
        <v>6</v>
      </c>
      <c r="E1045" s="66" t="s">
        <v>3</v>
      </c>
      <c r="F1045" s="39"/>
      <c r="G1045" s="28">
        <f t="shared" ref="G1045:G1051" si="52">ROUNDUP(D1045*F1045,2)</f>
        <v>0</v>
      </c>
    </row>
    <row r="1046" spans="2:7" ht="41.4" outlineLevel="3" x14ac:dyDescent="0.3">
      <c r="B1046" s="17" t="s">
        <v>1147</v>
      </c>
      <c r="C1046" s="61" t="s">
        <v>1744</v>
      </c>
      <c r="D1046" s="62">
        <v>6</v>
      </c>
      <c r="E1046" s="66" t="s">
        <v>3</v>
      </c>
      <c r="F1046" s="19"/>
      <c r="G1046" s="28">
        <f t="shared" si="52"/>
        <v>0</v>
      </c>
    </row>
    <row r="1047" spans="2:7" ht="27.6" outlineLevel="3" x14ac:dyDescent="0.3">
      <c r="B1047" s="17" t="s">
        <v>1148</v>
      </c>
      <c r="C1047" s="61" t="s">
        <v>1768</v>
      </c>
      <c r="D1047" s="62">
        <v>9</v>
      </c>
      <c r="E1047" s="66" t="s">
        <v>3</v>
      </c>
      <c r="F1047" s="39"/>
      <c r="G1047" s="28">
        <f t="shared" si="52"/>
        <v>0</v>
      </c>
    </row>
    <row r="1048" spans="2:7" ht="27.6" outlineLevel="3" x14ac:dyDescent="0.3">
      <c r="B1048" s="17" t="s">
        <v>1149</v>
      </c>
      <c r="C1048" s="61" t="s">
        <v>1769</v>
      </c>
      <c r="D1048" s="62">
        <v>10</v>
      </c>
      <c r="E1048" s="66" t="s">
        <v>3</v>
      </c>
      <c r="F1048" s="39"/>
      <c r="G1048" s="28">
        <f t="shared" si="52"/>
        <v>0</v>
      </c>
    </row>
    <row r="1049" spans="2:7" ht="27.6" outlineLevel="3" x14ac:dyDescent="0.3">
      <c r="B1049" s="17" t="s">
        <v>1150</v>
      </c>
      <c r="C1049" s="61" t="s">
        <v>1770</v>
      </c>
      <c r="D1049" s="62">
        <v>5</v>
      </c>
      <c r="E1049" s="66" t="s">
        <v>3</v>
      </c>
      <c r="F1049" s="39"/>
      <c r="G1049" s="28">
        <f t="shared" si="52"/>
        <v>0</v>
      </c>
    </row>
    <row r="1050" spans="2:7" ht="27.6" outlineLevel="3" x14ac:dyDescent="0.3">
      <c r="B1050" s="17" t="s">
        <v>1151</v>
      </c>
      <c r="C1050" s="61" t="s">
        <v>1728</v>
      </c>
      <c r="D1050" s="62">
        <v>15</v>
      </c>
      <c r="E1050" s="66" t="s">
        <v>3</v>
      </c>
      <c r="F1050" s="39"/>
      <c r="G1050" s="28">
        <f t="shared" si="52"/>
        <v>0</v>
      </c>
    </row>
    <row r="1051" spans="2:7" ht="41.4" outlineLevel="3" x14ac:dyDescent="0.3">
      <c r="B1051" s="17" t="s">
        <v>1152</v>
      </c>
      <c r="C1051" s="61" t="s">
        <v>1771</v>
      </c>
      <c r="D1051" s="62">
        <v>5</v>
      </c>
      <c r="E1051" s="66" t="s">
        <v>3</v>
      </c>
      <c r="F1051" s="19"/>
      <c r="G1051" s="28">
        <f t="shared" si="52"/>
        <v>0</v>
      </c>
    </row>
    <row r="1052" spans="2:7" outlineLevel="2" x14ac:dyDescent="0.3">
      <c r="B1052" s="21" t="s">
        <v>1153</v>
      </c>
      <c r="C1052" s="22" t="s">
        <v>1074</v>
      </c>
      <c r="D1052" s="23"/>
      <c r="E1052" s="24"/>
      <c r="F1052" s="25"/>
      <c r="G1052" s="26">
        <f>+SUBTOTAL(9,G1053:G1064)</f>
        <v>0</v>
      </c>
    </row>
    <row r="1053" spans="2:7" ht="55.2" outlineLevel="3" x14ac:dyDescent="0.3">
      <c r="B1053" s="17" t="s">
        <v>1154</v>
      </c>
      <c r="C1053" s="61" t="s">
        <v>1772</v>
      </c>
      <c r="D1053" s="62">
        <f>((12.01*2.9)-(2.4*2.85))*5</f>
        <v>139.94499999999999</v>
      </c>
      <c r="E1053" s="66" t="s">
        <v>10</v>
      </c>
      <c r="F1053" s="19"/>
      <c r="G1053" s="28">
        <f t="shared" ref="G1053:G1064" si="53">ROUNDUP(D1053*F1053,2)</f>
        <v>0</v>
      </c>
    </row>
    <row r="1054" spans="2:7" ht="27.6" outlineLevel="3" x14ac:dyDescent="0.3">
      <c r="B1054" s="17" t="s">
        <v>1155</v>
      </c>
      <c r="C1054" s="61" t="s">
        <v>1773</v>
      </c>
      <c r="D1054" s="62">
        <v>10.5</v>
      </c>
      <c r="E1054" s="66" t="s">
        <v>10</v>
      </c>
      <c r="F1054" s="19"/>
      <c r="G1054" s="28">
        <f t="shared" si="53"/>
        <v>0</v>
      </c>
    </row>
    <row r="1055" spans="2:7" ht="27.6" outlineLevel="3" x14ac:dyDescent="0.3">
      <c r="B1055" s="17" t="s">
        <v>1156</v>
      </c>
      <c r="C1055" s="61" t="s">
        <v>1774</v>
      </c>
      <c r="D1055" s="62">
        <v>10.9</v>
      </c>
      <c r="E1055" s="66" t="s">
        <v>10</v>
      </c>
      <c r="F1055" s="19"/>
      <c r="G1055" s="28">
        <f t="shared" si="53"/>
        <v>0</v>
      </c>
    </row>
    <row r="1056" spans="2:7" ht="55.2" outlineLevel="3" x14ac:dyDescent="0.3">
      <c r="B1056" s="17" t="s">
        <v>1157</v>
      </c>
      <c r="C1056" s="61" t="s">
        <v>1775</v>
      </c>
      <c r="D1056" s="62">
        <v>7.35</v>
      </c>
      <c r="E1056" s="66" t="s">
        <v>10</v>
      </c>
      <c r="F1056" s="19"/>
      <c r="G1056" s="28">
        <f t="shared" si="53"/>
        <v>0</v>
      </c>
    </row>
    <row r="1057" spans="2:7" ht="27.6" outlineLevel="3" x14ac:dyDescent="0.3">
      <c r="B1057" s="17" t="s">
        <v>1158</v>
      </c>
      <c r="C1057" s="61" t="s">
        <v>1776</v>
      </c>
      <c r="D1057" s="62">
        <v>9.6049999999999986</v>
      </c>
      <c r="E1057" s="66" t="s">
        <v>10</v>
      </c>
      <c r="F1057" s="19"/>
      <c r="G1057" s="28">
        <f t="shared" si="53"/>
        <v>0</v>
      </c>
    </row>
    <row r="1058" spans="2:7" ht="27.6" outlineLevel="3" x14ac:dyDescent="0.3">
      <c r="B1058" s="17" t="s">
        <v>1159</v>
      </c>
      <c r="C1058" s="61" t="s">
        <v>1777</v>
      </c>
      <c r="D1058" s="62">
        <v>12.43</v>
      </c>
      <c r="E1058" s="66" t="s">
        <v>10</v>
      </c>
      <c r="F1058" s="19"/>
      <c r="G1058" s="28">
        <f t="shared" si="53"/>
        <v>0</v>
      </c>
    </row>
    <row r="1059" spans="2:7" ht="27.6" outlineLevel="3" x14ac:dyDescent="0.3">
      <c r="B1059" s="17" t="s">
        <v>1160</v>
      </c>
      <c r="C1059" s="61" t="s">
        <v>1778</v>
      </c>
      <c r="D1059" s="62">
        <v>9.9875000000000007</v>
      </c>
      <c r="E1059" s="66" t="s">
        <v>10</v>
      </c>
      <c r="F1059" s="19"/>
      <c r="G1059" s="28">
        <f t="shared" si="53"/>
        <v>0</v>
      </c>
    </row>
    <row r="1060" spans="2:7" ht="27.6" outlineLevel="3" x14ac:dyDescent="0.3">
      <c r="B1060" s="17" t="s">
        <v>1161</v>
      </c>
      <c r="C1060" s="61" t="s">
        <v>1779</v>
      </c>
      <c r="D1060" s="62">
        <v>12.925000000000002</v>
      </c>
      <c r="E1060" s="66" t="s">
        <v>10</v>
      </c>
      <c r="F1060" s="19"/>
      <c r="G1060" s="28">
        <f t="shared" si="53"/>
        <v>0</v>
      </c>
    </row>
    <row r="1061" spans="2:7" ht="41.4" outlineLevel="3" x14ac:dyDescent="0.3">
      <c r="B1061" s="17" t="s">
        <v>1162</v>
      </c>
      <c r="C1061" s="61" t="s">
        <v>1780</v>
      </c>
      <c r="D1061" s="62">
        <v>29.04</v>
      </c>
      <c r="E1061" s="66" t="s">
        <v>10</v>
      </c>
      <c r="F1061" s="19"/>
      <c r="G1061" s="28">
        <f t="shared" si="53"/>
        <v>0</v>
      </c>
    </row>
    <row r="1062" spans="2:7" ht="27.6" outlineLevel="3" x14ac:dyDescent="0.3">
      <c r="B1062" s="17" t="s">
        <v>1163</v>
      </c>
      <c r="C1062" s="61" t="s">
        <v>1781</v>
      </c>
      <c r="D1062" s="62">
        <v>9.65</v>
      </c>
      <c r="E1062" s="66" t="s">
        <v>10</v>
      </c>
      <c r="F1062" s="19"/>
      <c r="G1062" s="28">
        <f t="shared" si="53"/>
        <v>0</v>
      </c>
    </row>
    <row r="1063" spans="2:7" ht="55.2" outlineLevel="3" x14ac:dyDescent="0.3">
      <c r="B1063" s="17" t="s">
        <v>1164</v>
      </c>
      <c r="C1063" s="61" t="s">
        <v>1782</v>
      </c>
      <c r="D1063" s="62">
        <v>26.215999999999998</v>
      </c>
      <c r="E1063" s="66" t="s">
        <v>10</v>
      </c>
      <c r="F1063" s="19"/>
      <c r="G1063" s="28">
        <f t="shared" si="53"/>
        <v>0</v>
      </c>
    </row>
    <row r="1064" spans="2:7" ht="27.6" outlineLevel="3" x14ac:dyDescent="0.3">
      <c r="B1064" s="17" t="s">
        <v>2273</v>
      </c>
      <c r="C1064" s="61" t="s">
        <v>2274</v>
      </c>
      <c r="D1064" s="62">
        <v>78.7</v>
      </c>
      <c r="E1064" s="66" t="s">
        <v>10</v>
      </c>
      <c r="F1064" s="19"/>
      <c r="G1064" s="28">
        <f t="shared" si="53"/>
        <v>0</v>
      </c>
    </row>
    <row r="1065" spans="2:7" outlineLevel="2" x14ac:dyDescent="0.3">
      <c r="B1065" s="21" t="s">
        <v>1165</v>
      </c>
      <c r="C1065" s="22" t="s">
        <v>1076</v>
      </c>
      <c r="D1065" s="23"/>
      <c r="E1065" s="24"/>
      <c r="F1065" s="25"/>
      <c r="G1065" s="26">
        <f>+SUBTOTAL(9,G1066:G1068)</f>
        <v>0</v>
      </c>
    </row>
    <row r="1066" spans="2:7" ht="82.8" outlineLevel="3" x14ac:dyDescent="0.3">
      <c r="B1066" s="17" t="s">
        <v>1166</v>
      </c>
      <c r="C1066" s="61" t="s">
        <v>1783</v>
      </c>
      <c r="D1066" s="62">
        <f>0.88*3.7*5</f>
        <v>16.28</v>
      </c>
      <c r="E1066" s="66" t="s">
        <v>10</v>
      </c>
      <c r="F1066" s="19"/>
      <c r="G1066" s="28">
        <f t="shared" ref="G1066:G1068" si="54">ROUNDUP(D1066*F1066,2)</f>
        <v>0</v>
      </c>
    </row>
    <row r="1067" spans="2:7" ht="82.8" outlineLevel="3" x14ac:dyDescent="0.3">
      <c r="B1067" s="17" t="s">
        <v>1167</v>
      </c>
      <c r="C1067" s="61" t="s">
        <v>1784</v>
      </c>
      <c r="D1067" s="47">
        <f>6.9*25.62</f>
        <v>176.77800000000002</v>
      </c>
      <c r="E1067" s="66" t="s">
        <v>10</v>
      </c>
      <c r="F1067" s="19"/>
      <c r="G1067" s="28">
        <f t="shared" si="54"/>
        <v>0</v>
      </c>
    </row>
    <row r="1068" spans="2:7" ht="82.8" outlineLevel="3" x14ac:dyDescent="0.3">
      <c r="B1068" s="17" t="s">
        <v>1168</v>
      </c>
      <c r="C1068" s="61" t="s">
        <v>1785</v>
      </c>
      <c r="D1068" s="47">
        <v>234.345</v>
      </c>
      <c r="E1068" s="66" t="s">
        <v>10</v>
      </c>
      <c r="F1068" s="19"/>
      <c r="G1068" s="28">
        <f t="shared" si="54"/>
        <v>0</v>
      </c>
    </row>
    <row r="1069" spans="2:7" outlineLevel="2" x14ac:dyDescent="0.3">
      <c r="B1069" s="67"/>
      <c r="C1069" s="68"/>
      <c r="D1069" s="69"/>
      <c r="E1069" s="70"/>
      <c r="F1069" s="52"/>
      <c r="G1069" s="60"/>
    </row>
    <row r="1070" spans="2:7" outlineLevel="1" x14ac:dyDescent="0.3">
      <c r="B1070" s="29">
        <v>3.4</v>
      </c>
      <c r="C1070" s="16" t="s">
        <v>239</v>
      </c>
      <c r="D1070" s="17"/>
      <c r="E1070" s="18"/>
      <c r="F1070" s="19"/>
      <c r="G1070" s="20">
        <f>+SUBTOTAL(9,G1071:G1094)</f>
        <v>0</v>
      </c>
    </row>
    <row r="1071" spans="2:7" outlineLevel="2" x14ac:dyDescent="0.3">
      <c r="B1071" s="21" t="s">
        <v>636</v>
      </c>
      <c r="C1071" s="22" t="s">
        <v>1075</v>
      </c>
      <c r="D1071" s="23"/>
      <c r="E1071" s="24"/>
      <c r="F1071" s="25"/>
      <c r="G1071" s="26">
        <f>+SUBTOTAL(9,G1072:G1078)</f>
        <v>0</v>
      </c>
    </row>
    <row r="1072" spans="2:7" ht="27.6" outlineLevel="3" x14ac:dyDescent="0.3">
      <c r="B1072" s="17" t="s">
        <v>673</v>
      </c>
      <c r="C1072" s="61" t="s">
        <v>1742</v>
      </c>
      <c r="D1072" s="62">
        <v>1</v>
      </c>
      <c r="E1072" s="66" t="s">
        <v>3</v>
      </c>
      <c r="F1072" s="39"/>
      <c r="G1072" s="28">
        <f t="shared" ref="G1072:G1078" si="55">ROUNDUP(D1072*F1072,2)</f>
        <v>0</v>
      </c>
    </row>
    <row r="1073" spans="2:7" ht="41.4" outlineLevel="3" x14ac:dyDescent="0.3">
      <c r="B1073" s="17" t="s">
        <v>682</v>
      </c>
      <c r="C1073" s="61" t="s">
        <v>1744</v>
      </c>
      <c r="D1073" s="62">
        <v>1</v>
      </c>
      <c r="E1073" s="66" t="s">
        <v>3</v>
      </c>
      <c r="F1073" s="19"/>
      <c r="G1073" s="28">
        <f t="shared" si="55"/>
        <v>0</v>
      </c>
    </row>
    <row r="1074" spans="2:7" ht="69" outlineLevel="3" x14ac:dyDescent="0.3">
      <c r="B1074" s="17" t="s">
        <v>686</v>
      </c>
      <c r="C1074" s="61" t="s">
        <v>1786</v>
      </c>
      <c r="D1074" s="62">
        <v>1</v>
      </c>
      <c r="E1074" s="66" t="s">
        <v>3</v>
      </c>
      <c r="F1074" s="19"/>
      <c r="G1074" s="28">
        <f t="shared" si="55"/>
        <v>0</v>
      </c>
    </row>
    <row r="1075" spans="2:7" ht="27.6" outlineLevel="3" x14ac:dyDescent="0.3">
      <c r="B1075" s="17" t="s">
        <v>705</v>
      </c>
      <c r="C1075" s="61" t="s">
        <v>1769</v>
      </c>
      <c r="D1075" s="62">
        <v>2</v>
      </c>
      <c r="E1075" s="66" t="s">
        <v>3</v>
      </c>
      <c r="F1075" s="39"/>
      <c r="G1075" s="28">
        <f t="shared" si="55"/>
        <v>0</v>
      </c>
    </row>
    <row r="1076" spans="2:7" ht="27.6" outlineLevel="3" x14ac:dyDescent="0.3">
      <c r="B1076" s="17" t="s">
        <v>768</v>
      </c>
      <c r="C1076" s="61" t="s">
        <v>1770</v>
      </c>
      <c r="D1076" s="62">
        <v>1</v>
      </c>
      <c r="E1076" s="66" t="s">
        <v>3</v>
      </c>
      <c r="F1076" s="39"/>
      <c r="G1076" s="28">
        <f t="shared" si="55"/>
        <v>0</v>
      </c>
    </row>
    <row r="1077" spans="2:7" ht="27.6" outlineLevel="3" x14ac:dyDescent="0.3">
      <c r="B1077" s="17" t="s">
        <v>788</v>
      </c>
      <c r="C1077" s="61" t="s">
        <v>1728</v>
      </c>
      <c r="D1077" s="62">
        <v>3</v>
      </c>
      <c r="E1077" s="66" t="s">
        <v>3</v>
      </c>
      <c r="F1077" s="39"/>
      <c r="G1077" s="28">
        <f t="shared" si="55"/>
        <v>0</v>
      </c>
    </row>
    <row r="1078" spans="2:7" ht="27.6" outlineLevel="3" x14ac:dyDescent="0.3">
      <c r="B1078" s="17" t="s">
        <v>794</v>
      </c>
      <c r="C1078" s="61" t="s">
        <v>1787</v>
      </c>
      <c r="D1078" s="62">
        <v>1</v>
      </c>
      <c r="E1078" s="66" t="s">
        <v>3</v>
      </c>
      <c r="F1078" s="19"/>
      <c r="G1078" s="28">
        <f t="shared" si="55"/>
        <v>0</v>
      </c>
    </row>
    <row r="1079" spans="2:7" outlineLevel="2" x14ac:dyDescent="0.3">
      <c r="B1079" s="21" t="s">
        <v>820</v>
      </c>
      <c r="C1079" s="22" t="s">
        <v>1074</v>
      </c>
      <c r="D1079" s="23"/>
      <c r="E1079" s="24"/>
      <c r="F1079" s="25"/>
      <c r="G1079" s="26">
        <f>+SUBTOTAL(9,G1080:G1090)</f>
        <v>0</v>
      </c>
    </row>
    <row r="1080" spans="2:7" ht="69" outlineLevel="3" x14ac:dyDescent="0.3">
      <c r="B1080" s="17" t="s">
        <v>821</v>
      </c>
      <c r="C1080" s="61" t="s">
        <v>553</v>
      </c>
      <c r="D1080" s="47">
        <v>12.7212</v>
      </c>
      <c r="E1080" s="18" t="s">
        <v>10</v>
      </c>
      <c r="F1080" s="19"/>
      <c r="G1080" s="28">
        <f t="shared" ref="G1080:G1090" si="56">ROUNDUP(D1080*F1080,2)</f>
        <v>0</v>
      </c>
    </row>
    <row r="1081" spans="2:7" ht="55.2" outlineLevel="3" x14ac:dyDescent="0.3">
      <c r="B1081" s="17" t="s">
        <v>1169</v>
      </c>
      <c r="C1081" s="61" t="s">
        <v>554</v>
      </c>
      <c r="D1081" s="47">
        <v>30.374599999999997</v>
      </c>
      <c r="E1081" s="18" t="s">
        <v>10</v>
      </c>
      <c r="F1081" s="19"/>
      <c r="G1081" s="28">
        <f t="shared" si="56"/>
        <v>0</v>
      </c>
    </row>
    <row r="1082" spans="2:7" ht="41.4" outlineLevel="3" x14ac:dyDescent="0.3">
      <c r="B1082" s="17" t="s">
        <v>1170</v>
      </c>
      <c r="C1082" s="16" t="s">
        <v>555</v>
      </c>
      <c r="D1082" s="17">
        <f>2.55*2.55</f>
        <v>6.5024999999999995</v>
      </c>
      <c r="E1082" s="18" t="s">
        <v>10</v>
      </c>
      <c r="F1082" s="19"/>
      <c r="G1082" s="28">
        <f t="shared" si="56"/>
        <v>0</v>
      </c>
    </row>
    <row r="1083" spans="2:7" ht="27.6" outlineLevel="3" x14ac:dyDescent="0.3">
      <c r="B1083" s="17" t="s">
        <v>1171</v>
      </c>
      <c r="C1083" s="61" t="s">
        <v>1788</v>
      </c>
      <c r="D1083" s="47">
        <v>3.72</v>
      </c>
      <c r="E1083" s="18" t="s">
        <v>10</v>
      </c>
      <c r="F1083" s="19"/>
      <c r="G1083" s="28">
        <f t="shared" si="56"/>
        <v>0</v>
      </c>
    </row>
    <row r="1084" spans="2:7" ht="27.6" outlineLevel="3" x14ac:dyDescent="0.3">
      <c r="B1084" s="17" t="s">
        <v>1172</v>
      </c>
      <c r="C1084" s="61" t="s">
        <v>1789</v>
      </c>
      <c r="D1084" s="47">
        <v>6.2640000000000002</v>
      </c>
      <c r="E1084" s="18" t="s">
        <v>10</v>
      </c>
      <c r="F1084" s="19"/>
      <c r="G1084" s="28">
        <f t="shared" si="56"/>
        <v>0</v>
      </c>
    </row>
    <row r="1085" spans="2:7" ht="27.6" outlineLevel="3" x14ac:dyDescent="0.3">
      <c r="B1085" s="17" t="s">
        <v>1173</v>
      </c>
      <c r="C1085" s="61" t="s">
        <v>1790</v>
      </c>
      <c r="D1085" s="47">
        <v>3.7800000000000002</v>
      </c>
      <c r="E1085" s="18" t="s">
        <v>10</v>
      </c>
      <c r="F1085" s="19"/>
      <c r="G1085" s="28">
        <f t="shared" si="56"/>
        <v>0</v>
      </c>
    </row>
    <row r="1086" spans="2:7" ht="55.2" outlineLevel="3" x14ac:dyDescent="0.3">
      <c r="B1086" s="17" t="s">
        <v>1174</v>
      </c>
      <c r="C1086" s="61" t="s">
        <v>1791</v>
      </c>
      <c r="D1086" s="47">
        <f>2*1.96*0.4</f>
        <v>1.5680000000000001</v>
      </c>
      <c r="E1086" s="18" t="s">
        <v>10</v>
      </c>
      <c r="F1086" s="19"/>
      <c r="G1086" s="28">
        <f t="shared" si="56"/>
        <v>0</v>
      </c>
    </row>
    <row r="1087" spans="2:7" ht="27.6" outlineLevel="3" x14ac:dyDescent="0.3">
      <c r="B1087" s="17" t="s">
        <v>1175</v>
      </c>
      <c r="C1087" s="61" t="s">
        <v>1792</v>
      </c>
      <c r="D1087" s="47">
        <v>4.7736000000000001</v>
      </c>
      <c r="E1087" s="18" t="s">
        <v>10</v>
      </c>
      <c r="F1087" s="19"/>
      <c r="G1087" s="28">
        <f t="shared" si="56"/>
        <v>0</v>
      </c>
    </row>
    <row r="1088" spans="2:7" ht="27.6" outlineLevel="3" x14ac:dyDescent="0.3">
      <c r="B1088" s="17" t="s">
        <v>1176</v>
      </c>
      <c r="C1088" s="61" t="s">
        <v>1793</v>
      </c>
      <c r="D1088" s="47">
        <v>4.4880000000000004</v>
      </c>
      <c r="E1088" s="18" t="s">
        <v>10</v>
      </c>
      <c r="F1088" s="19"/>
      <c r="G1088" s="28">
        <f t="shared" si="56"/>
        <v>0</v>
      </c>
    </row>
    <row r="1089" spans="2:7" ht="27.6" outlineLevel="3" x14ac:dyDescent="0.3">
      <c r="B1089" s="17" t="s">
        <v>1177</v>
      </c>
      <c r="C1089" s="61" t="s">
        <v>1794</v>
      </c>
      <c r="D1089" s="47">
        <v>2.5499999999999998</v>
      </c>
      <c r="E1089" s="18" t="s">
        <v>10</v>
      </c>
      <c r="F1089" s="19"/>
      <c r="G1089" s="28">
        <f t="shared" si="56"/>
        <v>0</v>
      </c>
    </row>
    <row r="1090" spans="2:7" ht="27.6" outlineLevel="3" x14ac:dyDescent="0.3">
      <c r="B1090" s="17" t="s">
        <v>1178</v>
      </c>
      <c r="C1090" s="61" t="s">
        <v>1795</v>
      </c>
      <c r="D1090" s="47">
        <v>3.4649999999999999</v>
      </c>
      <c r="E1090" s="18" t="s">
        <v>10</v>
      </c>
      <c r="F1090" s="19"/>
      <c r="G1090" s="28">
        <f t="shared" si="56"/>
        <v>0</v>
      </c>
    </row>
    <row r="1091" spans="2:7" outlineLevel="2" x14ac:dyDescent="0.3">
      <c r="B1091" s="21" t="s">
        <v>822</v>
      </c>
      <c r="C1091" s="22" t="s">
        <v>1076</v>
      </c>
      <c r="D1091" s="23"/>
      <c r="E1091" s="24"/>
      <c r="F1091" s="25"/>
      <c r="G1091" s="26">
        <f>+SUBTOTAL(9,G1092:G1092)</f>
        <v>0</v>
      </c>
    </row>
    <row r="1092" spans="2:7" ht="82.8" outlineLevel="3" x14ac:dyDescent="0.3">
      <c r="B1092" s="17" t="s">
        <v>823</v>
      </c>
      <c r="C1092" s="61" t="s">
        <v>1796</v>
      </c>
      <c r="D1092" s="47">
        <v>3.5816000000000003</v>
      </c>
      <c r="E1092" s="18" t="s">
        <v>10</v>
      </c>
      <c r="F1092" s="19"/>
      <c r="G1092" s="28">
        <f t="shared" ref="G1092" si="57">ROUNDUP(D1092*F1092,2)</f>
        <v>0</v>
      </c>
    </row>
    <row r="1093" spans="2:7" outlineLevel="3" x14ac:dyDescent="0.3">
      <c r="B1093" s="29"/>
      <c r="C1093" s="16"/>
      <c r="D1093" s="17"/>
      <c r="E1093" s="18"/>
      <c r="F1093" s="19"/>
      <c r="G1093" s="20"/>
    </row>
    <row r="1094" spans="2:7" outlineLevel="2" x14ac:dyDescent="0.3">
      <c r="B1094" s="29"/>
      <c r="C1094" s="16"/>
      <c r="D1094" s="17"/>
      <c r="E1094" s="18"/>
      <c r="F1094" s="19"/>
      <c r="G1094" s="20"/>
    </row>
    <row r="1095" spans="2:7" outlineLevel="1" x14ac:dyDescent="0.3">
      <c r="B1095" s="29"/>
      <c r="C1095" s="16"/>
      <c r="D1095" s="17"/>
      <c r="E1095" s="18"/>
      <c r="F1095" s="19"/>
      <c r="G1095" s="20"/>
    </row>
    <row r="1096" spans="2:7" ht="30" customHeight="1" x14ac:dyDescent="0.3">
      <c r="B1096" s="10">
        <v>4</v>
      </c>
      <c r="C1096" s="11" t="s">
        <v>1112</v>
      </c>
      <c r="D1096" s="12"/>
      <c r="E1096" s="13"/>
      <c r="F1096" s="12"/>
      <c r="G1096" s="14">
        <f>+SUBTOTAL(9,G1097:G1797)</f>
        <v>0</v>
      </c>
    </row>
    <row r="1097" spans="2:7" outlineLevel="1" x14ac:dyDescent="0.3">
      <c r="B1097" s="44"/>
      <c r="C1097" s="38"/>
      <c r="D1097" s="17"/>
      <c r="E1097" s="18"/>
      <c r="F1097" s="39"/>
      <c r="G1097" s="20"/>
    </row>
    <row r="1098" spans="2:7" outlineLevel="1" x14ac:dyDescent="0.3">
      <c r="B1098" s="103">
        <v>4.01</v>
      </c>
      <c r="C1098" s="22" t="s">
        <v>1797</v>
      </c>
      <c r="D1098" s="23"/>
      <c r="E1098" s="24"/>
      <c r="F1098" s="25"/>
      <c r="G1098" s="26">
        <f>+SUBTOTAL(9,G1099:G1402)</f>
        <v>0</v>
      </c>
    </row>
    <row r="1099" spans="2:7" outlineLevel="2" x14ac:dyDescent="0.3">
      <c r="B1099" s="29" t="s">
        <v>1798</v>
      </c>
      <c r="C1099" s="16" t="s">
        <v>5</v>
      </c>
      <c r="D1099" s="17"/>
      <c r="E1099" s="18"/>
      <c r="F1099" s="19"/>
      <c r="G1099" s="20">
        <f>SUBTOTAL(9,G1100:G1134)</f>
        <v>0</v>
      </c>
    </row>
    <row r="1100" spans="2:7" ht="27.6" outlineLevel="3" x14ac:dyDescent="0.3">
      <c r="B1100" s="44">
        <v>1.01</v>
      </c>
      <c r="C1100" s="38" t="s">
        <v>1799</v>
      </c>
      <c r="D1100" s="17">
        <v>1</v>
      </c>
      <c r="E1100" s="18" t="s">
        <v>3</v>
      </c>
      <c r="F1100" s="28"/>
      <c r="G1100" s="28">
        <f t="shared" ref="G1100:G1133" si="58">ROUNDUP(D1100*F1100,2)</f>
        <v>0</v>
      </c>
    </row>
    <row r="1101" spans="2:7" ht="27.6" outlineLevel="3" x14ac:dyDescent="0.3">
      <c r="B1101" s="44">
        <v>1.02</v>
      </c>
      <c r="C1101" s="38" t="s">
        <v>1800</v>
      </c>
      <c r="D1101" s="17">
        <v>1</v>
      </c>
      <c r="E1101" s="18" t="s">
        <v>3</v>
      </c>
      <c r="F1101" s="39"/>
      <c r="G1101" s="28">
        <f t="shared" si="58"/>
        <v>0</v>
      </c>
    </row>
    <row r="1102" spans="2:7" ht="27.6" outlineLevel="3" x14ac:dyDescent="0.3">
      <c r="B1102" s="44">
        <v>1.03</v>
      </c>
      <c r="C1102" s="38" t="s">
        <v>1801</v>
      </c>
      <c r="D1102" s="17">
        <v>1</v>
      </c>
      <c r="E1102" s="18" t="s">
        <v>3</v>
      </c>
      <c r="F1102" s="39"/>
      <c r="G1102" s="28">
        <f t="shared" si="58"/>
        <v>0</v>
      </c>
    </row>
    <row r="1103" spans="2:7" ht="27.6" outlineLevel="3" x14ac:dyDescent="0.3">
      <c r="B1103" s="44">
        <v>1.04</v>
      </c>
      <c r="C1103" s="38" t="s">
        <v>1802</v>
      </c>
      <c r="D1103" s="17">
        <v>1</v>
      </c>
      <c r="E1103" s="18" t="s">
        <v>3</v>
      </c>
      <c r="F1103" s="39"/>
      <c r="G1103" s="28">
        <f t="shared" si="58"/>
        <v>0</v>
      </c>
    </row>
    <row r="1104" spans="2:7" ht="27.6" outlineLevel="3" x14ac:dyDescent="0.3">
      <c r="B1104" s="44">
        <v>1.05</v>
      </c>
      <c r="C1104" s="38" t="s">
        <v>1803</v>
      </c>
      <c r="D1104" s="17">
        <v>8</v>
      </c>
      <c r="E1104" s="18" t="s">
        <v>3</v>
      </c>
      <c r="F1104" s="39"/>
      <c r="G1104" s="28">
        <f t="shared" si="58"/>
        <v>0</v>
      </c>
    </row>
    <row r="1105" spans="2:7" ht="27.6" outlineLevel="3" x14ac:dyDescent="0.3">
      <c r="B1105" s="44">
        <v>1.06</v>
      </c>
      <c r="C1105" s="38" t="s">
        <v>1804</v>
      </c>
      <c r="D1105" s="17">
        <v>1</v>
      </c>
      <c r="E1105" s="18" t="s">
        <v>3</v>
      </c>
      <c r="F1105" s="39"/>
      <c r="G1105" s="28">
        <f t="shared" si="58"/>
        <v>0</v>
      </c>
    </row>
    <row r="1106" spans="2:7" outlineLevel="3" x14ac:dyDescent="0.3">
      <c r="B1106" s="44">
        <v>2.0099999999999998</v>
      </c>
      <c r="C1106" s="38" t="s">
        <v>1805</v>
      </c>
      <c r="D1106" s="17">
        <v>20</v>
      </c>
      <c r="E1106" s="18" t="s">
        <v>947</v>
      </c>
      <c r="F1106" s="39"/>
      <c r="G1106" s="28">
        <f t="shared" si="58"/>
        <v>0</v>
      </c>
    </row>
    <row r="1107" spans="2:7" outlineLevel="3" x14ac:dyDescent="0.3">
      <c r="B1107" s="44">
        <v>2.02</v>
      </c>
      <c r="C1107" s="38" t="s">
        <v>1806</v>
      </c>
      <c r="D1107" s="17">
        <v>360</v>
      </c>
      <c r="E1107" s="18" t="s">
        <v>947</v>
      </c>
      <c r="F1107" s="39"/>
      <c r="G1107" s="28">
        <f t="shared" si="58"/>
        <v>0</v>
      </c>
    </row>
    <row r="1108" spans="2:7" outlineLevel="3" x14ac:dyDescent="0.3">
      <c r="B1108" s="44">
        <v>2.0299999999999998</v>
      </c>
      <c r="C1108" s="38" t="s">
        <v>1807</v>
      </c>
      <c r="D1108" s="17">
        <v>68</v>
      </c>
      <c r="E1108" s="18" t="s">
        <v>947</v>
      </c>
      <c r="F1108" s="39"/>
      <c r="G1108" s="28">
        <f t="shared" si="58"/>
        <v>0</v>
      </c>
    </row>
    <row r="1109" spans="2:7" outlineLevel="3" x14ac:dyDescent="0.3">
      <c r="B1109" s="44">
        <v>2.04</v>
      </c>
      <c r="C1109" s="38" t="s">
        <v>1808</v>
      </c>
      <c r="D1109" s="17">
        <v>400</v>
      </c>
      <c r="E1109" s="18" t="s">
        <v>947</v>
      </c>
      <c r="F1109" s="39"/>
      <c r="G1109" s="28">
        <f t="shared" si="58"/>
        <v>0</v>
      </c>
    </row>
    <row r="1110" spans="2:7" outlineLevel="3" x14ac:dyDescent="0.3">
      <c r="B1110" s="44">
        <v>2.0499999999999998</v>
      </c>
      <c r="C1110" s="38" t="s">
        <v>1809</v>
      </c>
      <c r="D1110" s="17">
        <v>220</v>
      </c>
      <c r="E1110" s="18" t="s">
        <v>947</v>
      </c>
      <c r="F1110" s="39"/>
      <c r="G1110" s="28">
        <f t="shared" si="58"/>
        <v>0</v>
      </c>
    </row>
    <row r="1111" spans="2:7" outlineLevel="3" x14ac:dyDescent="0.3">
      <c r="B1111" s="44">
        <v>2.06</v>
      </c>
      <c r="C1111" s="38" t="s">
        <v>1810</v>
      </c>
      <c r="D1111" s="17">
        <v>200</v>
      </c>
      <c r="E1111" s="18" t="s">
        <v>947</v>
      </c>
      <c r="F1111" s="39"/>
      <c r="G1111" s="28">
        <f t="shared" si="58"/>
        <v>0</v>
      </c>
    </row>
    <row r="1112" spans="2:7" outlineLevel="3" x14ac:dyDescent="0.3">
      <c r="B1112" s="44">
        <v>2.0699999999999998</v>
      </c>
      <c r="C1112" s="38" t="s">
        <v>1811</v>
      </c>
      <c r="D1112" s="17">
        <v>4</v>
      </c>
      <c r="E1112" s="18" t="s">
        <v>3</v>
      </c>
      <c r="F1112" s="39"/>
      <c r="G1112" s="28">
        <f t="shared" si="58"/>
        <v>0</v>
      </c>
    </row>
    <row r="1113" spans="2:7" outlineLevel="3" x14ac:dyDescent="0.3">
      <c r="B1113" s="44">
        <v>2.08</v>
      </c>
      <c r="C1113" s="38" t="s">
        <v>1812</v>
      </c>
      <c r="D1113" s="17">
        <v>60</v>
      </c>
      <c r="E1113" s="18" t="s">
        <v>3</v>
      </c>
      <c r="F1113" s="39"/>
      <c r="G1113" s="28">
        <f t="shared" si="58"/>
        <v>0</v>
      </c>
    </row>
    <row r="1114" spans="2:7" outlineLevel="3" x14ac:dyDescent="0.3">
      <c r="B1114" s="44">
        <v>2.09</v>
      </c>
      <c r="C1114" s="38" t="s">
        <v>1813</v>
      </c>
      <c r="D1114" s="17">
        <v>7</v>
      </c>
      <c r="E1114" s="18" t="s">
        <v>3</v>
      </c>
      <c r="F1114" s="39"/>
      <c r="G1114" s="28">
        <f t="shared" si="58"/>
        <v>0</v>
      </c>
    </row>
    <row r="1115" spans="2:7" outlineLevel="3" x14ac:dyDescent="0.3">
      <c r="B1115" s="44">
        <v>2.1</v>
      </c>
      <c r="C1115" s="38" t="s">
        <v>1814</v>
      </c>
      <c r="D1115" s="17">
        <v>6</v>
      </c>
      <c r="E1115" s="18" t="s">
        <v>3</v>
      </c>
      <c r="F1115" s="39"/>
      <c r="G1115" s="28">
        <f t="shared" si="58"/>
        <v>0</v>
      </c>
    </row>
    <row r="1116" spans="2:7" outlineLevel="3" x14ac:dyDescent="0.3">
      <c r="B1116" s="44">
        <v>2.11</v>
      </c>
      <c r="C1116" s="38" t="s">
        <v>1811</v>
      </c>
      <c r="D1116" s="17">
        <v>37</v>
      </c>
      <c r="E1116" s="18" t="s">
        <v>3</v>
      </c>
      <c r="F1116" s="39"/>
      <c r="G1116" s="28">
        <f t="shared" si="58"/>
        <v>0</v>
      </c>
    </row>
    <row r="1117" spans="2:7" outlineLevel="3" x14ac:dyDescent="0.3">
      <c r="B1117" s="44">
        <v>2.12</v>
      </c>
      <c r="C1117" s="38" t="s">
        <v>1815</v>
      </c>
      <c r="D1117" s="17">
        <v>34</v>
      </c>
      <c r="E1117" s="18" t="s">
        <v>3</v>
      </c>
      <c r="F1117" s="39"/>
      <c r="G1117" s="28">
        <f t="shared" si="58"/>
        <v>0</v>
      </c>
    </row>
    <row r="1118" spans="2:7" outlineLevel="3" x14ac:dyDescent="0.3">
      <c r="B1118" s="44">
        <v>2.13</v>
      </c>
      <c r="C1118" s="38" t="s">
        <v>1816</v>
      </c>
      <c r="D1118" s="17">
        <v>3</v>
      </c>
      <c r="E1118" s="18" t="s">
        <v>3</v>
      </c>
      <c r="F1118" s="39"/>
      <c r="G1118" s="28">
        <f t="shared" si="58"/>
        <v>0</v>
      </c>
    </row>
    <row r="1119" spans="2:7" outlineLevel="3" x14ac:dyDescent="0.3">
      <c r="B1119" s="44">
        <v>2.14</v>
      </c>
      <c r="C1119" s="38" t="s">
        <v>1817</v>
      </c>
      <c r="D1119" s="17">
        <v>2</v>
      </c>
      <c r="E1119" s="18" t="s">
        <v>3</v>
      </c>
      <c r="F1119" s="39"/>
      <c r="G1119" s="28">
        <f t="shared" si="58"/>
        <v>0</v>
      </c>
    </row>
    <row r="1120" spans="2:7" outlineLevel="3" x14ac:dyDescent="0.3">
      <c r="B1120" s="44">
        <v>2.15</v>
      </c>
      <c r="C1120" s="38" t="s">
        <v>1818</v>
      </c>
      <c r="D1120" s="17">
        <v>7</v>
      </c>
      <c r="E1120" s="18" t="s">
        <v>3</v>
      </c>
      <c r="F1120" s="39"/>
      <c r="G1120" s="28">
        <f t="shared" si="58"/>
        <v>0</v>
      </c>
    </row>
    <row r="1121" spans="2:8" outlineLevel="3" x14ac:dyDescent="0.3">
      <c r="B1121" s="44">
        <v>2.16</v>
      </c>
      <c r="C1121" s="38" t="s">
        <v>1819</v>
      </c>
      <c r="D1121" s="17">
        <v>1</v>
      </c>
      <c r="E1121" s="18" t="s">
        <v>3</v>
      </c>
      <c r="F1121" s="39"/>
      <c r="G1121" s="28">
        <f t="shared" si="58"/>
        <v>0</v>
      </c>
    </row>
    <row r="1122" spans="2:8" outlineLevel="3" x14ac:dyDescent="0.3">
      <c r="B1122" s="44">
        <v>2.17</v>
      </c>
      <c r="C1122" s="38" t="s">
        <v>1820</v>
      </c>
      <c r="D1122" s="17">
        <v>100</v>
      </c>
      <c r="E1122" s="18" t="s">
        <v>1821</v>
      </c>
      <c r="F1122" s="39"/>
      <c r="G1122" s="28">
        <f t="shared" si="58"/>
        <v>0</v>
      </c>
    </row>
    <row r="1123" spans="2:8" outlineLevel="3" x14ac:dyDescent="0.3">
      <c r="B1123" s="44">
        <v>2.1800000000000002</v>
      </c>
      <c r="C1123" s="38" t="s">
        <v>1822</v>
      </c>
      <c r="D1123" s="17">
        <v>124</v>
      </c>
      <c r="E1123" s="18" t="s">
        <v>3</v>
      </c>
      <c r="F1123" s="39"/>
      <c r="G1123" s="28">
        <f t="shared" si="58"/>
        <v>0</v>
      </c>
    </row>
    <row r="1124" spans="2:8" outlineLevel="3" x14ac:dyDescent="0.3">
      <c r="B1124" s="44">
        <v>2.19</v>
      </c>
      <c r="C1124" s="38" t="s">
        <v>1823</v>
      </c>
      <c r="D1124" s="17">
        <v>1</v>
      </c>
      <c r="E1124" s="18" t="s">
        <v>3</v>
      </c>
      <c r="F1124" s="39"/>
      <c r="G1124" s="28">
        <f t="shared" si="58"/>
        <v>0</v>
      </c>
    </row>
    <row r="1125" spans="2:8" outlineLevel="3" x14ac:dyDescent="0.3">
      <c r="B1125" s="44">
        <v>2.2000000000000002</v>
      </c>
      <c r="C1125" s="38" t="s">
        <v>1824</v>
      </c>
      <c r="D1125" s="17">
        <v>1</v>
      </c>
      <c r="E1125" s="18" t="s">
        <v>3</v>
      </c>
      <c r="F1125" s="39"/>
      <c r="G1125" s="28">
        <f t="shared" si="58"/>
        <v>0</v>
      </c>
    </row>
    <row r="1126" spans="2:8" outlineLevel="3" x14ac:dyDescent="0.3">
      <c r="B1126" s="44">
        <v>2.21</v>
      </c>
      <c r="C1126" s="38" t="s">
        <v>1825</v>
      </c>
      <c r="D1126" s="17">
        <v>1</v>
      </c>
      <c r="E1126" s="18" t="s">
        <v>3</v>
      </c>
      <c r="F1126" s="39"/>
      <c r="G1126" s="28">
        <f t="shared" si="58"/>
        <v>0</v>
      </c>
    </row>
    <row r="1127" spans="2:8" outlineLevel="3" x14ac:dyDescent="0.3">
      <c r="B1127" s="44">
        <v>3.01</v>
      </c>
      <c r="C1127" s="38" t="s">
        <v>1826</v>
      </c>
      <c r="D1127" s="17">
        <v>2000</v>
      </c>
      <c r="E1127" s="18" t="s">
        <v>947</v>
      </c>
      <c r="F1127" s="39"/>
      <c r="G1127" s="28">
        <f t="shared" si="58"/>
        <v>0</v>
      </c>
    </row>
    <row r="1128" spans="2:8" outlineLevel="3" x14ac:dyDescent="0.3">
      <c r="B1128" s="44">
        <v>3.02</v>
      </c>
      <c r="C1128" s="38" t="s">
        <v>1827</v>
      </c>
      <c r="D1128" s="17">
        <v>13</v>
      </c>
      <c r="E1128" s="18" t="s">
        <v>3</v>
      </c>
      <c r="F1128" s="39"/>
      <c r="G1128" s="28">
        <f t="shared" si="58"/>
        <v>0</v>
      </c>
    </row>
    <row r="1129" spans="2:8" outlineLevel="3" x14ac:dyDescent="0.3">
      <c r="B1129" s="44">
        <v>3.03</v>
      </c>
      <c r="C1129" s="38" t="s">
        <v>1825</v>
      </c>
      <c r="D1129" s="17">
        <v>13</v>
      </c>
      <c r="E1129" s="18" t="s">
        <v>581</v>
      </c>
      <c r="F1129" s="39"/>
      <c r="G1129" s="28">
        <f t="shared" si="58"/>
        <v>0</v>
      </c>
      <c r="H1129" s="122"/>
    </row>
    <row r="1130" spans="2:8" outlineLevel="3" x14ac:dyDescent="0.3">
      <c r="B1130" s="44">
        <v>4.01</v>
      </c>
      <c r="C1130" s="38" t="s">
        <v>1828</v>
      </c>
      <c r="D1130" s="17">
        <v>11</v>
      </c>
      <c r="E1130" s="18" t="s">
        <v>3</v>
      </c>
      <c r="F1130" s="39"/>
      <c r="G1130" s="28">
        <f t="shared" si="58"/>
        <v>0</v>
      </c>
    </row>
    <row r="1131" spans="2:8" outlineLevel="3" x14ac:dyDescent="0.3">
      <c r="B1131" s="44">
        <v>4.0199999999999996</v>
      </c>
      <c r="C1131" s="38" t="s">
        <v>1829</v>
      </c>
      <c r="D1131" s="17">
        <v>11</v>
      </c>
      <c r="E1131" s="18" t="s">
        <v>3</v>
      </c>
      <c r="F1131" s="39"/>
      <c r="G1131" s="28">
        <f t="shared" si="58"/>
        <v>0</v>
      </c>
    </row>
    <row r="1132" spans="2:8" outlineLevel="3" x14ac:dyDescent="0.3">
      <c r="B1132" s="44">
        <v>4.03</v>
      </c>
      <c r="C1132" s="38" t="s">
        <v>1830</v>
      </c>
      <c r="D1132" s="17">
        <v>2</v>
      </c>
      <c r="E1132" s="18" t="s">
        <v>3</v>
      </c>
      <c r="F1132" s="39"/>
      <c r="G1132" s="28">
        <f t="shared" si="58"/>
        <v>0</v>
      </c>
    </row>
    <row r="1133" spans="2:8" outlineLevel="3" x14ac:dyDescent="0.3">
      <c r="B1133" s="44">
        <v>4.04</v>
      </c>
      <c r="C1133" s="38" t="s">
        <v>1831</v>
      </c>
      <c r="D1133" s="17">
        <v>11</v>
      </c>
      <c r="E1133" s="18" t="s">
        <v>3</v>
      </c>
      <c r="F1133" s="39"/>
      <c r="G1133" s="28">
        <f t="shared" si="58"/>
        <v>0</v>
      </c>
    </row>
    <row r="1134" spans="2:8" outlineLevel="3" x14ac:dyDescent="0.3">
      <c r="B1134" s="44"/>
      <c r="C1134" s="38"/>
      <c r="D1134" s="17"/>
      <c r="E1134" s="18"/>
      <c r="F1134" s="39"/>
      <c r="G1134" s="20"/>
    </row>
    <row r="1135" spans="2:8" outlineLevel="2" x14ac:dyDescent="0.3">
      <c r="B1135" s="29" t="s">
        <v>1832</v>
      </c>
      <c r="C1135" s="16" t="s">
        <v>101</v>
      </c>
      <c r="D1135" s="17"/>
      <c r="E1135" s="18"/>
      <c r="F1135" s="19"/>
      <c r="G1135" s="20">
        <f>SUBTOTAL(9,G1136:G1176)</f>
        <v>0</v>
      </c>
    </row>
    <row r="1136" spans="2:8" ht="27.6" outlineLevel="3" x14ac:dyDescent="0.3">
      <c r="B1136" s="44">
        <v>1.01</v>
      </c>
      <c r="C1136" s="38" t="s">
        <v>1833</v>
      </c>
      <c r="D1136" s="17">
        <v>1</v>
      </c>
      <c r="E1136" s="18" t="s">
        <v>3</v>
      </c>
      <c r="F1136" s="39"/>
      <c r="G1136" s="28">
        <f t="shared" ref="G1136:G1175" si="59">ROUNDUP(D1136*F1136,2)</f>
        <v>0</v>
      </c>
    </row>
    <row r="1137" spans="2:7" ht="27.6" outlineLevel="3" x14ac:dyDescent="0.3">
      <c r="B1137" s="44">
        <v>1.02</v>
      </c>
      <c r="C1137" s="38" t="s">
        <v>1834</v>
      </c>
      <c r="D1137" s="17">
        <v>1</v>
      </c>
      <c r="E1137" s="18" t="s">
        <v>3</v>
      </c>
      <c r="F1137" s="39"/>
      <c r="G1137" s="28">
        <f t="shared" si="59"/>
        <v>0</v>
      </c>
    </row>
    <row r="1138" spans="2:7" ht="27.6" outlineLevel="3" x14ac:dyDescent="0.3">
      <c r="B1138" s="44">
        <v>1.03</v>
      </c>
      <c r="C1138" s="38" t="s">
        <v>1835</v>
      </c>
      <c r="D1138" s="17">
        <v>1</v>
      </c>
      <c r="E1138" s="18" t="s">
        <v>3</v>
      </c>
      <c r="F1138" s="39"/>
      <c r="G1138" s="28">
        <f t="shared" si="59"/>
        <v>0</v>
      </c>
    </row>
    <row r="1139" spans="2:7" ht="41.4" outlineLevel="3" x14ac:dyDescent="0.3">
      <c r="B1139" s="44">
        <v>1.04</v>
      </c>
      <c r="C1139" s="38" t="s">
        <v>1836</v>
      </c>
      <c r="D1139" s="17">
        <v>1</v>
      </c>
      <c r="E1139" s="18" t="s">
        <v>3</v>
      </c>
      <c r="F1139" s="39"/>
      <c r="G1139" s="28">
        <f t="shared" si="59"/>
        <v>0</v>
      </c>
    </row>
    <row r="1140" spans="2:7" ht="41.4" outlineLevel="3" x14ac:dyDescent="0.3">
      <c r="B1140" s="44">
        <v>1.05</v>
      </c>
      <c r="C1140" s="38" t="s">
        <v>1837</v>
      </c>
      <c r="D1140" s="17">
        <v>1</v>
      </c>
      <c r="E1140" s="18" t="s">
        <v>3</v>
      </c>
      <c r="F1140" s="39"/>
      <c r="G1140" s="28">
        <f t="shared" si="59"/>
        <v>0</v>
      </c>
    </row>
    <row r="1141" spans="2:7" ht="41.4" outlineLevel="3" x14ac:dyDescent="0.3">
      <c r="B1141" s="44">
        <v>1.06</v>
      </c>
      <c r="C1141" s="38" t="s">
        <v>1838</v>
      </c>
      <c r="D1141" s="17">
        <v>1</v>
      </c>
      <c r="E1141" s="18" t="s">
        <v>3</v>
      </c>
      <c r="F1141" s="39"/>
      <c r="G1141" s="28">
        <f t="shared" si="59"/>
        <v>0</v>
      </c>
    </row>
    <row r="1142" spans="2:7" ht="41.4" outlineLevel="3" x14ac:dyDescent="0.3">
      <c r="B1142" s="44">
        <v>1.07</v>
      </c>
      <c r="C1142" s="38" t="s">
        <v>1839</v>
      </c>
      <c r="D1142" s="17">
        <v>1</v>
      </c>
      <c r="E1142" s="18" t="s">
        <v>3</v>
      </c>
      <c r="F1142" s="39"/>
      <c r="G1142" s="28">
        <f t="shared" si="59"/>
        <v>0</v>
      </c>
    </row>
    <row r="1143" spans="2:7" ht="41.4" outlineLevel="3" x14ac:dyDescent="0.3">
      <c r="B1143" s="44">
        <v>1.08</v>
      </c>
      <c r="C1143" s="38" t="s">
        <v>1840</v>
      </c>
      <c r="D1143" s="17">
        <v>1</v>
      </c>
      <c r="E1143" s="18" t="s">
        <v>3</v>
      </c>
      <c r="F1143" s="39"/>
      <c r="G1143" s="28">
        <f t="shared" si="59"/>
        <v>0</v>
      </c>
    </row>
    <row r="1144" spans="2:7" ht="41.4" outlineLevel="3" x14ac:dyDescent="0.3">
      <c r="B1144" s="44">
        <v>1.0900000000000001</v>
      </c>
      <c r="C1144" s="38" t="s">
        <v>1841</v>
      </c>
      <c r="D1144" s="17">
        <v>5</v>
      </c>
      <c r="E1144" s="18" t="s">
        <v>3</v>
      </c>
      <c r="F1144" s="39"/>
      <c r="G1144" s="28">
        <f t="shared" si="59"/>
        <v>0</v>
      </c>
    </row>
    <row r="1145" spans="2:7" ht="27.6" outlineLevel="3" x14ac:dyDescent="0.3">
      <c r="B1145" s="44">
        <v>1.1000000000000001</v>
      </c>
      <c r="C1145" s="38" t="s">
        <v>1842</v>
      </c>
      <c r="D1145" s="17">
        <v>1</v>
      </c>
      <c r="E1145" s="18" t="s">
        <v>3</v>
      </c>
      <c r="F1145" s="39"/>
      <c r="G1145" s="28">
        <f t="shared" si="59"/>
        <v>0</v>
      </c>
    </row>
    <row r="1146" spans="2:7" ht="27.6" outlineLevel="3" x14ac:dyDescent="0.3">
      <c r="B1146" s="44">
        <v>1.1100000000000001</v>
      </c>
      <c r="C1146" s="38" t="s">
        <v>1843</v>
      </c>
      <c r="D1146" s="17">
        <v>1</v>
      </c>
      <c r="E1146" s="18" t="s">
        <v>3</v>
      </c>
      <c r="F1146" s="39"/>
      <c r="G1146" s="28">
        <f t="shared" si="59"/>
        <v>0</v>
      </c>
    </row>
    <row r="1147" spans="2:7" outlineLevel="3" x14ac:dyDescent="0.3">
      <c r="B1147" s="44">
        <v>2.0099999999999998</v>
      </c>
      <c r="C1147" s="38" t="s">
        <v>1805</v>
      </c>
      <c r="D1147" s="17">
        <v>110</v>
      </c>
      <c r="E1147" s="18" t="s">
        <v>947</v>
      </c>
      <c r="F1147" s="39"/>
      <c r="G1147" s="28">
        <f t="shared" si="59"/>
        <v>0</v>
      </c>
    </row>
    <row r="1148" spans="2:7" outlineLevel="3" x14ac:dyDescent="0.3">
      <c r="B1148" s="44">
        <v>2.02</v>
      </c>
      <c r="C1148" s="38" t="s">
        <v>1844</v>
      </c>
      <c r="D1148" s="17">
        <v>130</v>
      </c>
      <c r="E1148" s="18" t="s">
        <v>947</v>
      </c>
      <c r="F1148" s="39"/>
      <c r="G1148" s="28">
        <f t="shared" si="59"/>
        <v>0</v>
      </c>
    </row>
    <row r="1149" spans="2:7" outlineLevel="3" x14ac:dyDescent="0.3">
      <c r="B1149" s="44">
        <v>2.0299999999999998</v>
      </c>
      <c r="C1149" s="38" t="s">
        <v>1845</v>
      </c>
      <c r="D1149" s="17">
        <v>110</v>
      </c>
      <c r="E1149" s="18" t="s">
        <v>947</v>
      </c>
      <c r="F1149" s="39"/>
      <c r="G1149" s="28">
        <f t="shared" si="59"/>
        <v>0</v>
      </c>
    </row>
    <row r="1150" spans="2:7" outlineLevel="3" x14ac:dyDescent="0.3">
      <c r="B1150" s="44">
        <v>2.04</v>
      </c>
      <c r="C1150" s="38" t="s">
        <v>1846</v>
      </c>
      <c r="D1150" s="17">
        <v>140</v>
      </c>
      <c r="E1150" s="18" t="s">
        <v>947</v>
      </c>
      <c r="F1150" s="39"/>
      <c r="G1150" s="28">
        <f t="shared" si="59"/>
        <v>0</v>
      </c>
    </row>
    <row r="1151" spans="2:7" outlineLevel="3" x14ac:dyDescent="0.3">
      <c r="B1151" s="44">
        <v>2.0499999999999998</v>
      </c>
      <c r="C1151" s="38" t="s">
        <v>1847</v>
      </c>
      <c r="D1151" s="17">
        <v>110</v>
      </c>
      <c r="E1151" s="18" t="s">
        <v>947</v>
      </c>
      <c r="F1151" s="39"/>
      <c r="G1151" s="28">
        <f t="shared" si="59"/>
        <v>0</v>
      </c>
    </row>
    <row r="1152" spans="2:7" outlineLevel="3" x14ac:dyDescent="0.3">
      <c r="B1152" s="44">
        <v>2.06</v>
      </c>
      <c r="C1152" s="38" t="s">
        <v>1848</v>
      </c>
      <c r="D1152" s="17">
        <v>190</v>
      </c>
      <c r="E1152" s="18" t="s">
        <v>947</v>
      </c>
      <c r="F1152" s="39"/>
      <c r="G1152" s="28">
        <f t="shared" si="59"/>
        <v>0</v>
      </c>
    </row>
    <row r="1153" spans="2:7" outlineLevel="3" x14ac:dyDescent="0.3">
      <c r="B1153" s="44">
        <v>2.0699999999999998</v>
      </c>
      <c r="C1153" s="38" t="s">
        <v>1849</v>
      </c>
      <c r="D1153" s="17">
        <v>190</v>
      </c>
      <c r="E1153" s="18" t="s">
        <v>947</v>
      </c>
      <c r="F1153" s="39"/>
      <c r="G1153" s="28">
        <f t="shared" si="59"/>
        <v>0</v>
      </c>
    </row>
    <row r="1154" spans="2:7" outlineLevel="3" x14ac:dyDescent="0.3">
      <c r="B1154" s="44">
        <v>2.08</v>
      </c>
      <c r="C1154" s="38" t="s">
        <v>1850</v>
      </c>
      <c r="D1154" s="17">
        <v>120</v>
      </c>
      <c r="E1154" s="18" t="s">
        <v>947</v>
      </c>
      <c r="F1154" s="39"/>
      <c r="G1154" s="28">
        <f t="shared" si="59"/>
        <v>0</v>
      </c>
    </row>
    <row r="1155" spans="2:7" outlineLevel="3" x14ac:dyDescent="0.3">
      <c r="B1155" s="44">
        <v>2.09</v>
      </c>
      <c r="C1155" s="38" t="s">
        <v>1811</v>
      </c>
      <c r="D1155" s="17">
        <v>24</v>
      </c>
      <c r="E1155" s="18" t="s">
        <v>3</v>
      </c>
      <c r="F1155" s="39"/>
      <c r="G1155" s="28">
        <f t="shared" si="59"/>
        <v>0</v>
      </c>
    </row>
    <row r="1156" spans="2:7" outlineLevel="3" x14ac:dyDescent="0.3">
      <c r="B1156" s="44">
        <v>2.1</v>
      </c>
      <c r="C1156" s="38" t="s">
        <v>1814</v>
      </c>
      <c r="D1156" s="17">
        <v>20</v>
      </c>
      <c r="E1156" s="18" t="s">
        <v>3</v>
      </c>
      <c r="F1156" s="39"/>
      <c r="G1156" s="28">
        <f t="shared" si="59"/>
        <v>0</v>
      </c>
    </row>
    <row r="1157" spans="2:7" outlineLevel="3" x14ac:dyDescent="0.3">
      <c r="B1157" s="44">
        <v>2.11</v>
      </c>
      <c r="C1157" s="38" t="s">
        <v>1851</v>
      </c>
      <c r="D1157" s="17">
        <v>24</v>
      </c>
      <c r="E1157" s="18" t="s">
        <v>3</v>
      </c>
      <c r="F1157" s="39"/>
      <c r="G1157" s="28">
        <f t="shared" si="59"/>
        <v>0</v>
      </c>
    </row>
    <row r="1158" spans="2:7" outlineLevel="3" x14ac:dyDescent="0.3">
      <c r="B1158" s="44">
        <v>2.12</v>
      </c>
      <c r="C1158" s="38" t="s">
        <v>1852</v>
      </c>
      <c r="D1158" s="17">
        <v>20</v>
      </c>
      <c r="E1158" s="18" t="s">
        <v>3</v>
      </c>
      <c r="F1158" s="39"/>
      <c r="G1158" s="28">
        <f t="shared" si="59"/>
        <v>0</v>
      </c>
    </row>
    <row r="1159" spans="2:7" outlineLevel="3" x14ac:dyDescent="0.3">
      <c r="B1159" s="44">
        <v>2.13</v>
      </c>
      <c r="C1159" s="38" t="s">
        <v>1853</v>
      </c>
      <c r="D1159" s="17">
        <v>19</v>
      </c>
      <c r="E1159" s="18" t="s">
        <v>3</v>
      </c>
      <c r="F1159" s="39"/>
      <c r="G1159" s="28">
        <f t="shared" si="59"/>
        <v>0</v>
      </c>
    </row>
    <row r="1160" spans="2:7" outlineLevel="3" x14ac:dyDescent="0.3">
      <c r="B1160" s="44">
        <v>2.14</v>
      </c>
      <c r="C1160" s="38" t="s">
        <v>1816</v>
      </c>
      <c r="D1160" s="17">
        <v>3</v>
      </c>
      <c r="E1160" s="18" t="s">
        <v>3</v>
      </c>
      <c r="F1160" s="39"/>
      <c r="G1160" s="28">
        <f t="shared" si="59"/>
        <v>0</v>
      </c>
    </row>
    <row r="1161" spans="2:7" outlineLevel="3" x14ac:dyDescent="0.3">
      <c r="B1161" s="44">
        <v>2.15</v>
      </c>
      <c r="C1161" s="38" t="s">
        <v>1817</v>
      </c>
      <c r="D1161" s="17">
        <v>2</v>
      </c>
      <c r="E1161" s="18" t="s">
        <v>3</v>
      </c>
      <c r="F1161" s="39"/>
      <c r="G1161" s="28">
        <f t="shared" si="59"/>
        <v>0</v>
      </c>
    </row>
    <row r="1162" spans="2:7" outlineLevel="3" x14ac:dyDescent="0.3">
      <c r="B1162" s="44">
        <v>2.16</v>
      </c>
      <c r="C1162" s="38" t="s">
        <v>1818</v>
      </c>
      <c r="D1162" s="17">
        <v>7</v>
      </c>
      <c r="E1162" s="18" t="s">
        <v>3</v>
      </c>
      <c r="F1162" s="39"/>
      <c r="G1162" s="28">
        <f t="shared" si="59"/>
        <v>0</v>
      </c>
    </row>
    <row r="1163" spans="2:7" outlineLevel="3" x14ac:dyDescent="0.3">
      <c r="B1163" s="44">
        <v>2.17</v>
      </c>
      <c r="C1163" s="38" t="s">
        <v>1819</v>
      </c>
      <c r="D1163" s="17">
        <v>1</v>
      </c>
      <c r="E1163" s="18" t="s">
        <v>3</v>
      </c>
      <c r="F1163" s="39"/>
      <c r="G1163" s="28">
        <f t="shared" si="59"/>
        <v>0</v>
      </c>
    </row>
    <row r="1164" spans="2:7" outlineLevel="3" x14ac:dyDescent="0.3">
      <c r="B1164" s="44">
        <v>2.1800000000000002</v>
      </c>
      <c r="C1164" s="38" t="s">
        <v>1854</v>
      </c>
      <c r="D1164" s="17">
        <v>80</v>
      </c>
      <c r="E1164" s="18" t="s">
        <v>1821</v>
      </c>
      <c r="F1164" s="39"/>
      <c r="G1164" s="28">
        <f t="shared" si="59"/>
        <v>0</v>
      </c>
    </row>
    <row r="1165" spans="2:7" outlineLevel="3" x14ac:dyDescent="0.3">
      <c r="B1165" s="44">
        <v>2.19</v>
      </c>
      <c r="C1165" s="38" t="s">
        <v>1822</v>
      </c>
      <c r="D1165" s="17">
        <v>127</v>
      </c>
      <c r="E1165" s="18" t="s">
        <v>3</v>
      </c>
      <c r="F1165" s="39"/>
      <c r="G1165" s="28">
        <f t="shared" si="59"/>
        <v>0</v>
      </c>
    </row>
    <row r="1166" spans="2:7" outlineLevel="3" x14ac:dyDescent="0.3">
      <c r="B1166" s="44">
        <v>2.2000000000000002</v>
      </c>
      <c r="C1166" s="38" t="s">
        <v>1823</v>
      </c>
      <c r="D1166" s="17">
        <v>1</v>
      </c>
      <c r="E1166" s="18" t="s">
        <v>3</v>
      </c>
      <c r="F1166" s="39"/>
      <c r="G1166" s="28">
        <f t="shared" si="59"/>
        <v>0</v>
      </c>
    </row>
    <row r="1167" spans="2:7" outlineLevel="3" x14ac:dyDescent="0.3">
      <c r="B1167" s="44">
        <v>2.21</v>
      </c>
      <c r="C1167" s="38" t="s">
        <v>1824</v>
      </c>
      <c r="D1167" s="17">
        <v>1</v>
      </c>
      <c r="E1167" s="18" t="s">
        <v>3</v>
      </c>
      <c r="F1167" s="39"/>
      <c r="G1167" s="28">
        <f t="shared" si="59"/>
        <v>0</v>
      </c>
    </row>
    <row r="1168" spans="2:7" outlineLevel="3" x14ac:dyDescent="0.3">
      <c r="B1168" s="44">
        <v>2.2599999999999998</v>
      </c>
      <c r="C1168" s="38" t="s">
        <v>1825</v>
      </c>
      <c r="D1168" s="17">
        <v>1</v>
      </c>
      <c r="E1168" s="18" t="s">
        <v>3</v>
      </c>
      <c r="F1168" s="39"/>
      <c r="G1168" s="28">
        <f t="shared" si="59"/>
        <v>0</v>
      </c>
    </row>
    <row r="1169" spans="2:8" outlineLevel="3" x14ac:dyDescent="0.3">
      <c r="B1169" s="44">
        <v>3.01</v>
      </c>
      <c r="C1169" s="38" t="s">
        <v>1826</v>
      </c>
      <c r="D1169" s="17">
        <v>2000</v>
      </c>
      <c r="E1169" s="18" t="s">
        <v>947</v>
      </c>
      <c r="F1169" s="39"/>
      <c r="G1169" s="28">
        <f t="shared" si="59"/>
        <v>0</v>
      </c>
    </row>
    <row r="1170" spans="2:8" outlineLevel="3" x14ac:dyDescent="0.3">
      <c r="B1170" s="44">
        <v>3.02</v>
      </c>
      <c r="C1170" s="38" t="s">
        <v>1827</v>
      </c>
      <c r="D1170" s="17">
        <v>20</v>
      </c>
      <c r="E1170" s="18" t="s">
        <v>3</v>
      </c>
      <c r="F1170" s="39"/>
      <c r="G1170" s="28">
        <f t="shared" si="59"/>
        <v>0</v>
      </c>
    </row>
    <row r="1171" spans="2:8" outlineLevel="3" x14ac:dyDescent="0.3">
      <c r="B1171" s="44">
        <v>3.03</v>
      </c>
      <c r="C1171" s="38" t="s">
        <v>1825</v>
      </c>
      <c r="D1171" s="17">
        <v>20</v>
      </c>
      <c r="E1171" s="18" t="s">
        <v>3</v>
      </c>
      <c r="F1171" s="39"/>
      <c r="G1171" s="28">
        <f t="shared" si="59"/>
        <v>0</v>
      </c>
      <c r="H1171" s="122"/>
    </row>
    <row r="1172" spans="2:8" outlineLevel="3" x14ac:dyDescent="0.3">
      <c r="B1172" s="44">
        <v>4.01</v>
      </c>
      <c r="C1172" s="38" t="s">
        <v>1828</v>
      </c>
      <c r="D1172" s="17">
        <v>17</v>
      </c>
      <c r="E1172" s="18" t="s">
        <v>3</v>
      </c>
      <c r="F1172" s="39"/>
      <c r="G1172" s="28">
        <f t="shared" si="59"/>
        <v>0</v>
      </c>
    </row>
    <row r="1173" spans="2:8" outlineLevel="3" x14ac:dyDescent="0.3">
      <c r="B1173" s="44">
        <v>4.0199999999999996</v>
      </c>
      <c r="C1173" s="38" t="s">
        <v>1829</v>
      </c>
      <c r="D1173" s="17">
        <v>17</v>
      </c>
      <c r="E1173" s="18" t="s">
        <v>3</v>
      </c>
      <c r="F1173" s="39"/>
      <c r="G1173" s="28">
        <f t="shared" si="59"/>
        <v>0</v>
      </c>
    </row>
    <row r="1174" spans="2:8" outlineLevel="3" x14ac:dyDescent="0.3">
      <c r="B1174" s="44">
        <v>4.03</v>
      </c>
      <c r="C1174" s="38" t="s">
        <v>1830</v>
      </c>
      <c r="D1174" s="17">
        <v>3</v>
      </c>
      <c r="E1174" s="18" t="s">
        <v>3</v>
      </c>
      <c r="F1174" s="39"/>
      <c r="G1174" s="28">
        <f t="shared" si="59"/>
        <v>0</v>
      </c>
    </row>
    <row r="1175" spans="2:8" outlineLevel="3" x14ac:dyDescent="0.3">
      <c r="B1175" s="44">
        <v>4.04</v>
      </c>
      <c r="C1175" s="38" t="s">
        <v>1831</v>
      </c>
      <c r="D1175" s="17">
        <v>17</v>
      </c>
      <c r="E1175" s="18" t="s">
        <v>3</v>
      </c>
      <c r="F1175" s="39"/>
      <c r="G1175" s="28">
        <f t="shared" si="59"/>
        <v>0</v>
      </c>
    </row>
    <row r="1176" spans="2:8" outlineLevel="3" x14ac:dyDescent="0.3">
      <c r="B1176" s="44"/>
      <c r="C1176" s="38"/>
      <c r="D1176" s="17"/>
      <c r="E1176" s="18"/>
      <c r="F1176" s="39"/>
      <c r="G1176" s="20"/>
    </row>
    <row r="1177" spans="2:8" outlineLevel="2" x14ac:dyDescent="0.3">
      <c r="B1177" s="29" t="s">
        <v>1855</v>
      </c>
      <c r="C1177" s="16" t="s">
        <v>1856</v>
      </c>
      <c r="D1177" s="17"/>
      <c r="E1177" s="18"/>
      <c r="F1177" s="19"/>
      <c r="G1177" s="20">
        <f>SUBTOTAL(9,G1178:G1220)</f>
        <v>0</v>
      </c>
    </row>
    <row r="1178" spans="2:8" ht="27.6" outlineLevel="3" x14ac:dyDescent="0.3">
      <c r="B1178" s="44">
        <v>1.02</v>
      </c>
      <c r="C1178" s="38" t="s">
        <v>1857</v>
      </c>
      <c r="D1178" s="17">
        <v>1</v>
      </c>
      <c r="E1178" s="18" t="s">
        <v>3</v>
      </c>
      <c r="F1178" s="39"/>
      <c r="G1178" s="28">
        <f t="shared" ref="G1178:G1219" si="60">ROUNDUP(D1178*F1178,2)</f>
        <v>0</v>
      </c>
    </row>
    <row r="1179" spans="2:8" ht="27.6" outlineLevel="3" x14ac:dyDescent="0.3">
      <c r="B1179" s="44">
        <v>1.03</v>
      </c>
      <c r="C1179" s="38" t="s">
        <v>1858</v>
      </c>
      <c r="D1179" s="17">
        <v>1</v>
      </c>
      <c r="E1179" s="18" t="s">
        <v>3</v>
      </c>
      <c r="F1179" s="39"/>
      <c r="G1179" s="28">
        <f t="shared" si="60"/>
        <v>0</v>
      </c>
    </row>
    <row r="1180" spans="2:8" ht="27.6" outlineLevel="3" x14ac:dyDescent="0.3">
      <c r="B1180" s="44">
        <v>1.04</v>
      </c>
      <c r="C1180" s="38" t="s">
        <v>1859</v>
      </c>
      <c r="D1180" s="17">
        <v>1</v>
      </c>
      <c r="E1180" s="18" t="s">
        <v>3</v>
      </c>
      <c r="F1180" s="39"/>
      <c r="G1180" s="28">
        <f t="shared" si="60"/>
        <v>0</v>
      </c>
    </row>
    <row r="1181" spans="2:8" ht="27.6" outlineLevel="3" x14ac:dyDescent="0.3">
      <c r="B1181" s="44">
        <v>1.05</v>
      </c>
      <c r="C1181" s="38" t="s">
        <v>1860</v>
      </c>
      <c r="D1181" s="17">
        <v>11</v>
      </c>
      <c r="E1181" s="18" t="s">
        <v>3</v>
      </c>
      <c r="F1181" s="39"/>
      <c r="G1181" s="28">
        <f t="shared" si="60"/>
        <v>0</v>
      </c>
    </row>
    <row r="1182" spans="2:8" ht="27.6" outlineLevel="3" x14ac:dyDescent="0.3">
      <c r="B1182" s="44">
        <v>1.06</v>
      </c>
      <c r="C1182" s="38" t="s">
        <v>1861</v>
      </c>
      <c r="D1182" s="17">
        <v>12</v>
      </c>
      <c r="E1182" s="18" t="s">
        <v>3</v>
      </c>
      <c r="F1182" s="39"/>
      <c r="G1182" s="28">
        <f t="shared" si="60"/>
        <v>0</v>
      </c>
    </row>
    <row r="1183" spans="2:8" ht="27.6" outlineLevel="3" x14ac:dyDescent="0.3">
      <c r="B1183" s="44">
        <v>1.07</v>
      </c>
      <c r="C1183" s="38" t="s">
        <v>1862</v>
      </c>
      <c r="D1183" s="17">
        <v>8</v>
      </c>
      <c r="E1183" s="18" t="s">
        <v>3</v>
      </c>
      <c r="F1183" s="39"/>
      <c r="G1183" s="28">
        <f t="shared" si="60"/>
        <v>0</v>
      </c>
    </row>
    <row r="1184" spans="2:8" ht="27.6" outlineLevel="3" x14ac:dyDescent="0.3">
      <c r="B1184" s="44">
        <v>1.08</v>
      </c>
      <c r="C1184" s="38" t="s">
        <v>1863</v>
      </c>
      <c r="D1184" s="17">
        <v>3</v>
      </c>
      <c r="E1184" s="18" t="s">
        <v>3</v>
      </c>
      <c r="F1184" s="39"/>
      <c r="G1184" s="28">
        <f t="shared" si="60"/>
        <v>0</v>
      </c>
    </row>
    <row r="1185" spans="2:7" outlineLevel="3" x14ac:dyDescent="0.3">
      <c r="B1185" s="44">
        <v>2.0099999999999998</v>
      </c>
      <c r="C1185" s="38" t="s">
        <v>1864</v>
      </c>
      <c r="D1185" s="17">
        <v>104.96</v>
      </c>
      <c r="E1185" s="18" t="s">
        <v>947</v>
      </c>
      <c r="F1185" s="39"/>
      <c r="G1185" s="28">
        <f t="shared" si="60"/>
        <v>0</v>
      </c>
    </row>
    <row r="1186" spans="2:7" outlineLevel="3" x14ac:dyDescent="0.3">
      <c r="B1186" s="44">
        <v>2.02</v>
      </c>
      <c r="C1186" s="38" t="s">
        <v>1864</v>
      </c>
      <c r="D1186" s="17">
        <v>82</v>
      </c>
      <c r="E1186" s="18" t="s">
        <v>947</v>
      </c>
      <c r="F1186" s="39"/>
      <c r="G1186" s="28">
        <f t="shared" si="60"/>
        <v>0</v>
      </c>
    </row>
    <row r="1187" spans="2:7" outlineLevel="3" x14ac:dyDescent="0.3">
      <c r="B1187" s="44">
        <v>2.0299999999999998</v>
      </c>
      <c r="C1187" s="38" t="s">
        <v>1865</v>
      </c>
      <c r="D1187" s="17">
        <v>121.36</v>
      </c>
      <c r="E1187" s="18" t="s">
        <v>947</v>
      </c>
      <c r="F1187" s="39"/>
      <c r="G1187" s="28">
        <f t="shared" si="60"/>
        <v>0</v>
      </c>
    </row>
    <row r="1188" spans="2:7" outlineLevel="3" x14ac:dyDescent="0.3">
      <c r="B1188" s="44">
        <v>2.04</v>
      </c>
      <c r="C1188" s="38" t="s">
        <v>1865</v>
      </c>
      <c r="D1188" s="17">
        <v>45.92</v>
      </c>
      <c r="E1188" s="18" t="s">
        <v>947</v>
      </c>
      <c r="F1188" s="39"/>
      <c r="G1188" s="28">
        <f t="shared" si="60"/>
        <v>0</v>
      </c>
    </row>
    <row r="1189" spans="2:7" outlineLevel="3" x14ac:dyDescent="0.3">
      <c r="B1189" s="44">
        <v>2.0499999999999998</v>
      </c>
      <c r="C1189" s="38" t="s">
        <v>1865</v>
      </c>
      <c r="D1189" s="17">
        <v>52.48</v>
      </c>
      <c r="E1189" s="18" t="s">
        <v>947</v>
      </c>
      <c r="F1189" s="39"/>
      <c r="G1189" s="28">
        <f t="shared" si="60"/>
        <v>0</v>
      </c>
    </row>
    <row r="1190" spans="2:7" outlineLevel="3" x14ac:dyDescent="0.3">
      <c r="B1190" s="44">
        <v>2.06</v>
      </c>
      <c r="C1190" s="38" t="s">
        <v>1865</v>
      </c>
      <c r="D1190" s="17">
        <v>26.54</v>
      </c>
      <c r="E1190" s="18" t="s">
        <v>947</v>
      </c>
      <c r="F1190" s="39"/>
      <c r="G1190" s="28">
        <f t="shared" si="60"/>
        <v>0</v>
      </c>
    </row>
    <row r="1191" spans="2:7" outlineLevel="3" x14ac:dyDescent="0.3">
      <c r="B1191" s="44">
        <v>2.0699999999999998</v>
      </c>
      <c r="C1191" s="38" t="s">
        <v>1865</v>
      </c>
      <c r="D1191" s="17">
        <v>16.399999999999999</v>
      </c>
      <c r="E1191" s="18" t="s">
        <v>947</v>
      </c>
      <c r="F1191" s="39"/>
      <c r="G1191" s="28">
        <f t="shared" si="60"/>
        <v>0</v>
      </c>
    </row>
    <row r="1192" spans="2:7" outlineLevel="3" x14ac:dyDescent="0.3">
      <c r="B1192" s="44">
        <v>2.08</v>
      </c>
      <c r="C1192" s="38" t="s">
        <v>1865</v>
      </c>
      <c r="D1192" s="17">
        <v>29.52</v>
      </c>
      <c r="E1192" s="18" t="s">
        <v>947</v>
      </c>
      <c r="F1192" s="39"/>
      <c r="G1192" s="28">
        <f t="shared" si="60"/>
        <v>0</v>
      </c>
    </row>
    <row r="1193" spans="2:7" outlineLevel="3" x14ac:dyDescent="0.3">
      <c r="B1193" s="44">
        <v>2.09</v>
      </c>
      <c r="C1193" s="38" t="s">
        <v>1865</v>
      </c>
      <c r="D1193" s="17">
        <v>9.84</v>
      </c>
      <c r="E1193" s="18" t="s">
        <v>947</v>
      </c>
      <c r="F1193" s="39"/>
      <c r="G1193" s="28">
        <f t="shared" si="60"/>
        <v>0</v>
      </c>
    </row>
    <row r="1194" spans="2:7" outlineLevel="3" x14ac:dyDescent="0.3">
      <c r="B1194" s="44">
        <v>2.1</v>
      </c>
      <c r="C1194" s="38" t="s">
        <v>1866</v>
      </c>
      <c r="D1194" s="17">
        <v>17.489999999999998</v>
      </c>
      <c r="E1194" s="18" t="s">
        <v>3</v>
      </c>
      <c r="F1194" s="39"/>
      <c r="G1194" s="28">
        <f t="shared" si="60"/>
        <v>0</v>
      </c>
    </row>
    <row r="1195" spans="2:7" outlineLevel="3" x14ac:dyDescent="0.3">
      <c r="B1195" s="44">
        <v>2.11</v>
      </c>
      <c r="C1195" s="38" t="s">
        <v>1866</v>
      </c>
      <c r="D1195" s="17">
        <v>48</v>
      </c>
      <c r="E1195" s="18" t="s">
        <v>3</v>
      </c>
      <c r="F1195" s="39"/>
      <c r="G1195" s="28">
        <f t="shared" si="60"/>
        <v>0</v>
      </c>
    </row>
    <row r="1196" spans="2:7" outlineLevel="3" x14ac:dyDescent="0.3">
      <c r="B1196" s="44">
        <v>2.12</v>
      </c>
      <c r="C1196" s="38" t="s">
        <v>1866</v>
      </c>
      <c r="D1196" s="17">
        <v>20.23</v>
      </c>
      <c r="E1196" s="18" t="s">
        <v>3</v>
      </c>
      <c r="F1196" s="39"/>
      <c r="G1196" s="28">
        <f t="shared" si="60"/>
        <v>0</v>
      </c>
    </row>
    <row r="1197" spans="2:7" outlineLevel="3" x14ac:dyDescent="0.3">
      <c r="B1197" s="44">
        <v>2.13</v>
      </c>
      <c r="C1197" s="38" t="s">
        <v>1866</v>
      </c>
      <c r="D1197" s="17">
        <v>7.65</v>
      </c>
      <c r="E1197" s="18" t="s">
        <v>3</v>
      </c>
      <c r="F1197" s="39"/>
      <c r="G1197" s="28">
        <f t="shared" si="60"/>
        <v>0</v>
      </c>
    </row>
    <row r="1198" spans="2:7" outlineLevel="3" x14ac:dyDescent="0.3">
      <c r="B1198" s="44">
        <v>2.14</v>
      </c>
      <c r="C1198" s="38" t="s">
        <v>1866</v>
      </c>
      <c r="D1198" s="17">
        <v>38</v>
      </c>
      <c r="E1198" s="18" t="s">
        <v>3</v>
      </c>
      <c r="F1198" s="39"/>
      <c r="G1198" s="28">
        <f t="shared" si="60"/>
        <v>0</v>
      </c>
    </row>
    <row r="1199" spans="2:7" outlineLevel="3" x14ac:dyDescent="0.3">
      <c r="B1199" s="44">
        <v>2.15</v>
      </c>
      <c r="C1199" s="38" t="s">
        <v>1866</v>
      </c>
      <c r="D1199" s="17">
        <v>28</v>
      </c>
      <c r="E1199" s="18" t="s">
        <v>3</v>
      </c>
      <c r="F1199" s="39"/>
      <c r="G1199" s="28">
        <f t="shared" si="60"/>
        <v>0</v>
      </c>
    </row>
    <row r="1200" spans="2:7" outlineLevel="3" x14ac:dyDescent="0.3">
      <c r="B1200" s="44">
        <v>2.16</v>
      </c>
      <c r="C1200" s="38" t="s">
        <v>1866</v>
      </c>
      <c r="D1200" s="17">
        <v>9</v>
      </c>
      <c r="E1200" s="18" t="s">
        <v>3</v>
      </c>
      <c r="F1200" s="39"/>
      <c r="G1200" s="28">
        <f t="shared" si="60"/>
        <v>0</v>
      </c>
    </row>
    <row r="1201" spans="2:8" outlineLevel="3" x14ac:dyDescent="0.3">
      <c r="B1201" s="44">
        <v>2.17</v>
      </c>
      <c r="C1201" s="38" t="s">
        <v>1866</v>
      </c>
      <c r="D1201" s="17">
        <v>19</v>
      </c>
      <c r="E1201" s="18" t="s">
        <v>3</v>
      </c>
      <c r="F1201" s="39"/>
      <c r="G1201" s="28">
        <f t="shared" si="60"/>
        <v>0</v>
      </c>
    </row>
    <row r="1202" spans="2:8" outlineLevel="3" x14ac:dyDescent="0.3">
      <c r="B1202" s="44">
        <v>2.1800000000000002</v>
      </c>
      <c r="C1202" s="38" t="s">
        <v>1866</v>
      </c>
      <c r="D1202" s="17">
        <v>1.64</v>
      </c>
      <c r="E1202" s="18" t="s">
        <v>3</v>
      </c>
      <c r="F1202" s="39"/>
      <c r="G1202" s="28">
        <f t="shared" si="60"/>
        <v>0</v>
      </c>
    </row>
    <row r="1203" spans="2:8" outlineLevel="3" x14ac:dyDescent="0.3">
      <c r="B1203" s="44">
        <v>2.19</v>
      </c>
      <c r="C1203" s="38" t="s">
        <v>1867</v>
      </c>
      <c r="D1203" s="17">
        <v>6</v>
      </c>
      <c r="E1203" s="18" t="s">
        <v>3</v>
      </c>
      <c r="F1203" s="39"/>
      <c r="G1203" s="28">
        <f t="shared" si="60"/>
        <v>0</v>
      </c>
    </row>
    <row r="1204" spans="2:8" outlineLevel="3" x14ac:dyDescent="0.3">
      <c r="B1204" s="44">
        <v>2.2000000000000002</v>
      </c>
      <c r="C1204" s="38" t="s">
        <v>1868</v>
      </c>
      <c r="D1204" s="17">
        <v>6</v>
      </c>
      <c r="E1204" s="18" t="s">
        <v>3</v>
      </c>
      <c r="F1204" s="39"/>
      <c r="G1204" s="28">
        <f t="shared" si="60"/>
        <v>0</v>
      </c>
    </row>
    <row r="1205" spans="2:8" outlineLevel="3" x14ac:dyDescent="0.3">
      <c r="B1205" s="44">
        <v>2.21</v>
      </c>
      <c r="C1205" s="38" t="s">
        <v>1869</v>
      </c>
      <c r="D1205" s="17">
        <v>8</v>
      </c>
      <c r="E1205" s="18" t="s">
        <v>3</v>
      </c>
      <c r="F1205" s="39"/>
      <c r="G1205" s="28">
        <f t="shared" si="60"/>
        <v>0</v>
      </c>
    </row>
    <row r="1206" spans="2:8" outlineLevel="3" x14ac:dyDescent="0.3">
      <c r="B1206" s="44">
        <v>2.2200000000000002</v>
      </c>
      <c r="C1206" s="38" t="s">
        <v>1870</v>
      </c>
      <c r="D1206" s="17">
        <v>14</v>
      </c>
      <c r="E1206" s="18" t="s">
        <v>3</v>
      </c>
      <c r="F1206" s="39"/>
      <c r="G1206" s="28">
        <f t="shared" si="60"/>
        <v>0</v>
      </c>
    </row>
    <row r="1207" spans="2:8" outlineLevel="3" x14ac:dyDescent="0.3">
      <c r="B1207" s="44">
        <v>2.23</v>
      </c>
      <c r="C1207" s="38" t="s">
        <v>1871</v>
      </c>
      <c r="D1207" s="17">
        <v>1</v>
      </c>
      <c r="E1207" s="18" t="s">
        <v>3</v>
      </c>
      <c r="F1207" s="39"/>
      <c r="G1207" s="28">
        <f t="shared" si="60"/>
        <v>0</v>
      </c>
    </row>
    <row r="1208" spans="2:8" outlineLevel="3" x14ac:dyDescent="0.3">
      <c r="B1208" s="44">
        <v>2.25</v>
      </c>
      <c r="C1208" s="38" t="s">
        <v>1820</v>
      </c>
      <c r="D1208" s="17">
        <v>250</v>
      </c>
      <c r="E1208" s="18" t="s">
        <v>1821</v>
      </c>
      <c r="F1208" s="39"/>
      <c r="G1208" s="28">
        <f t="shared" si="60"/>
        <v>0</v>
      </c>
    </row>
    <row r="1209" spans="2:8" outlineLevel="3" x14ac:dyDescent="0.3">
      <c r="B1209" s="44">
        <v>2.2599999999999998</v>
      </c>
      <c r="C1209" s="38" t="s">
        <v>1822</v>
      </c>
      <c r="D1209" s="17">
        <v>48.87</v>
      </c>
      <c r="E1209" s="18" t="s">
        <v>3</v>
      </c>
      <c r="F1209" s="39"/>
      <c r="G1209" s="28">
        <f t="shared" si="60"/>
        <v>0</v>
      </c>
    </row>
    <row r="1210" spans="2:8" outlineLevel="3" x14ac:dyDescent="0.3">
      <c r="B1210" s="44">
        <v>2.27</v>
      </c>
      <c r="C1210" s="38" t="s">
        <v>1823</v>
      </c>
      <c r="D1210" s="17">
        <v>1</v>
      </c>
      <c r="E1210" s="18" t="s">
        <v>3</v>
      </c>
      <c r="F1210" s="39"/>
      <c r="G1210" s="28">
        <f t="shared" si="60"/>
        <v>0</v>
      </c>
    </row>
    <row r="1211" spans="2:8" outlineLevel="3" x14ac:dyDescent="0.3">
      <c r="B1211" s="44">
        <v>2.2799999999999998</v>
      </c>
      <c r="C1211" s="38" t="s">
        <v>1824</v>
      </c>
      <c r="D1211" s="17">
        <v>1</v>
      </c>
      <c r="E1211" s="18" t="s">
        <v>3</v>
      </c>
      <c r="F1211" s="39"/>
      <c r="G1211" s="28">
        <f t="shared" si="60"/>
        <v>0</v>
      </c>
    </row>
    <row r="1212" spans="2:8" outlineLevel="3" x14ac:dyDescent="0.3">
      <c r="B1212" s="44">
        <v>2.29</v>
      </c>
      <c r="C1212" s="38" t="s">
        <v>1825</v>
      </c>
      <c r="D1212" s="17">
        <v>1</v>
      </c>
      <c r="E1212" s="18" t="s">
        <v>3</v>
      </c>
      <c r="F1212" s="39"/>
      <c r="G1212" s="28">
        <f t="shared" si="60"/>
        <v>0</v>
      </c>
    </row>
    <row r="1213" spans="2:8" outlineLevel="3" x14ac:dyDescent="0.3">
      <c r="B1213" s="44">
        <v>3.01</v>
      </c>
      <c r="C1213" s="38" t="s">
        <v>1826</v>
      </c>
      <c r="D1213" s="17">
        <v>3000</v>
      </c>
      <c r="E1213" s="18" t="s">
        <v>947</v>
      </c>
      <c r="F1213" s="39"/>
      <c r="G1213" s="28">
        <f t="shared" si="60"/>
        <v>0</v>
      </c>
    </row>
    <row r="1214" spans="2:8" outlineLevel="3" x14ac:dyDescent="0.3">
      <c r="B1214" s="44">
        <v>3.02</v>
      </c>
      <c r="C1214" s="38" t="s">
        <v>1827</v>
      </c>
      <c r="D1214" s="17">
        <v>38</v>
      </c>
      <c r="E1214" s="18" t="s">
        <v>3</v>
      </c>
      <c r="F1214" s="39"/>
      <c r="G1214" s="28">
        <f t="shared" si="60"/>
        <v>0</v>
      </c>
    </row>
    <row r="1215" spans="2:8" outlineLevel="3" x14ac:dyDescent="0.3">
      <c r="B1215" s="44">
        <v>3.03</v>
      </c>
      <c r="C1215" s="38" t="s">
        <v>1825</v>
      </c>
      <c r="D1215" s="17">
        <v>38</v>
      </c>
      <c r="E1215" s="18" t="s">
        <v>3</v>
      </c>
      <c r="F1215" s="39"/>
      <c r="G1215" s="28">
        <f t="shared" si="60"/>
        <v>0</v>
      </c>
      <c r="H1215" s="122"/>
    </row>
    <row r="1216" spans="2:8" outlineLevel="3" x14ac:dyDescent="0.3">
      <c r="B1216" s="44">
        <v>4.01</v>
      </c>
      <c r="C1216" s="38" t="s">
        <v>1828</v>
      </c>
      <c r="D1216" s="17">
        <v>36</v>
      </c>
      <c r="E1216" s="18" t="s">
        <v>3</v>
      </c>
      <c r="F1216" s="39"/>
      <c r="G1216" s="28">
        <f t="shared" si="60"/>
        <v>0</v>
      </c>
    </row>
    <row r="1217" spans="2:7" outlineLevel="3" x14ac:dyDescent="0.3">
      <c r="B1217" s="44">
        <v>4.0199999999999996</v>
      </c>
      <c r="C1217" s="38" t="s">
        <v>1829</v>
      </c>
      <c r="D1217" s="17">
        <v>36</v>
      </c>
      <c r="E1217" s="18" t="s">
        <v>3</v>
      </c>
      <c r="F1217" s="39"/>
      <c r="G1217" s="28">
        <f t="shared" si="60"/>
        <v>0</v>
      </c>
    </row>
    <row r="1218" spans="2:7" outlineLevel="3" x14ac:dyDescent="0.3">
      <c r="B1218" s="44">
        <v>4.03</v>
      </c>
      <c r="C1218" s="38" t="s">
        <v>1830</v>
      </c>
      <c r="D1218" s="17">
        <v>2</v>
      </c>
      <c r="E1218" s="18" t="s">
        <v>3</v>
      </c>
      <c r="F1218" s="39"/>
      <c r="G1218" s="28">
        <f t="shared" si="60"/>
        <v>0</v>
      </c>
    </row>
    <row r="1219" spans="2:7" outlineLevel="3" x14ac:dyDescent="0.3">
      <c r="B1219" s="44">
        <v>4.04</v>
      </c>
      <c r="C1219" s="38" t="s">
        <v>1831</v>
      </c>
      <c r="D1219" s="17">
        <v>36</v>
      </c>
      <c r="E1219" s="18" t="s">
        <v>3</v>
      </c>
      <c r="F1219" s="39"/>
      <c r="G1219" s="28">
        <f t="shared" si="60"/>
        <v>0</v>
      </c>
    </row>
    <row r="1220" spans="2:7" outlineLevel="3" x14ac:dyDescent="0.3">
      <c r="B1220" s="44"/>
      <c r="C1220" s="38"/>
      <c r="D1220" s="17"/>
      <c r="E1220" s="18"/>
      <c r="F1220" s="39"/>
      <c r="G1220" s="20"/>
    </row>
    <row r="1221" spans="2:7" outlineLevel="2" x14ac:dyDescent="0.3">
      <c r="B1221" s="29" t="s">
        <v>1872</v>
      </c>
      <c r="C1221" s="16" t="s">
        <v>1873</v>
      </c>
      <c r="D1221" s="17"/>
      <c r="E1221" s="18"/>
      <c r="F1221" s="19"/>
      <c r="G1221" s="20">
        <f>SUBTOTAL(9,G1222:G1265)</f>
        <v>0</v>
      </c>
    </row>
    <row r="1222" spans="2:7" outlineLevel="3" x14ac:dyDescent="0.3">
      <c r="B1222" s="44">
        <v>1.01</v>
      </c>
      <c r="C1222" s="38" t="s">
        <v>1874</v>
      </c>
      <c r="D1222" s="17">
        <v>1</v>
      </c>
      <c r="E1222" s="18" t="s">
        <v>3</v>
      </c>
      <c r="F1222" s="39"/>
      <c r="G1222" s="28">
        <f t="shared" ref="G1222:G1264" si="61">ROUNDUP(D1222*F1222,2)</f>
        <v>0</v>
      </c>
    </row>
    <row r="1223" spans="2:7" outlineLevel="3" x14ac:dyDescent="0.3">
      <c r="B1223" s="44">
        <v>1.02</v>
      </c>
      <c r="C1223" s="38" t="s">
        <v>1875</v>
      </c>
      <c r="D1223" s="17">
        <v>1</v>
      </c>
      <c r="E1223" s="18" t="s">
        <v>3</v>
      </c>
      <c r="F1223" s="39"/>
      <c r="G1223" s="28">
        <f t="shared" si="61"/>
        <v>0</v>
      </c>
    </row>
    <row r="1224" spans="2:7" outlineLevel="3" x14ac:dyDescent="0.3">
      <c r="B1224" s="44">
        <v>1.03</v>
      </c>
      <c r="C1224" s="38" t="s">
        <v>1876</v>
      </c>
      <c r="D1224" s="17">
        <v>1</v>
      </c>
      <c r="E1224" s="18" t="s">
        <v>3</v>
      </c>
      <c r="F1224" s="39"/>
      <c r="G1224" s="28">
        <f t="shared" si="61"/>
        <v>0</v>
      </c>
    </row>
    <row r="1225" spans="2:7" outlineLevel="3" x14ac:dyDescent="0.3">
      <c r="B1225" s="44">
        <v>1.04</v>
      </c>
      <c r="C1225" s="38" t="s">
        <v>1877</v>
      </c>
      <c r="D1225" s="17">
        <v>1</v>
      </c>
      <c r="E1225" s="18" t="s">
        <v>3</v>
      </c>
      <c r="F1225" s="39"/>
      <c r="G1225" s="28">
        <f t="shared" si="61"/>
        <v>0</v>
      </c>
    </row>
    <row r="1226" spans="2:7" outlineLevel="3" x14ac:dyDescent="0.3">
      <c r="B1226" s="44">
        <v>1.05</v>
      </c>
      <c r="C1226" s="38" t="s">
        <v>1878</v>
      </c>
      <c r="D1226" s="17">
        <v>12</v>
      </c>
      <c r="E1226" s="18" t="s">
        <v>3</v>
      </c>
      <c r="F1226" s="39"/>
      <c r="G1226" s="28">
        <f t="shared" si="61"/>
        <v>0</v>
      </c>
    </row>
    <row r="1227" spans="2:7" outlineLevel="3" x14ac:dyDescent="0.3">
      <c r="B1227" s="44">
        <v>1.06</v>
      </c>
      <c r="C1227" s="38" t="s">
        <v>1879</v>
      </c>
      <c r="D1227" s="17">
        <v>11</v>
      </c>
      <c r="E1227" s="18" t="s">
        <v>3</v>
      </c>
      <c r="F1227" s="39"/>
      <c r="G1227" s="28">
        <f t="shared" si="61"/>
        <v>0</v>
      </c>
    </row>
    <row r="1228" spans="2:7" outlineLevel="3" x14ac:dyDescent="0.3">
      <c r="B1228" s="44">
        <v>1.07</v>
      </c>
      <c r="C1228" s="38" t="s">
        <v>1880</v>
      </c>
      <c r="D1228" s="17">
        <v>8</v>
      </c>
      <c r="E1228" s="18" t="s">
        <v>3</v>
      </c>
      <c r="F1228" s="39"/>
      <c r="G1228" s="28">
        <f t="shared" si="61"/>
        <v>0</v>
      </c>
    </row>
    <row r="1229" spans="2:7" outlineLevel="3" x14ac:dyDescent="0.3">
      <c r="B1229" s="44">
        <v>1.08</v>
      </c>
      <c r="C1229" s="38" t="s">
        <v>1881</v>
      </c>
      <c r="D1229" s="17">
        <v>3</v>
      </c>
      <c r="E1229" s="18" t="s">
        <v>3</v>
      </c>
      <c r="F1229" s="39"/>
      <c r="G1229" s="28">
        <f t="shared" si="61"/>
        <v>0</v>
      </c>
    </row>
    <row r="1230" spans="2:7" outlineLevel="3" x14ac:dyDescent="0.3">
      <c r="B1230" s="44">
        <v>2.0099999999999998</v>
      </c>
      <c r="C1230" s="38" t="s">
        <v>1864</v>
      </c>
      <c r="D1230" s="17">
        <v>104.96</v>
      </c>
      <c r="E1230" s="18" t="s">
        <v>947</v>
      </c>
      <c r="F1230" s="39"/>
      <c r="G1230" s="28">
        <f t="shared" si="61"/>
        <v>0</v>
      </c>
    </row>
    <row r="1231" spans="2:7" outlineLevel="3" x14ac:dyDescent="0.3">
      <c r="B1231" s="44">
        <v>2.02</v>
      </c>
      <c r="C1231" s="38" t="s">
        <v>1864</v>
      </c>
      <c r="D1231" s="17">
        <v>63.32</v>
      </c>
      <c r="E1231" s="18" t="s">
        <v>947</v>
      </c>
      <c r="F1231" s="39"/>
      <c r="G1231" s="28">
        <f t="shared" si="61"/>
        <v>0</v>
      </c>
    </row>
    <row r="1232" spans="2:7" outlineLevel="3" x14ac:dyDescent="0.3">
      <c r="B1232" s="44">
        <v>2.0299999999999998</v>
      </c>
      <c r="C1232" s="38" t="s">
        <v>1865</v>
      </c>
      <c r="D1232" s="17">
        <v>134.47999999999999</v>
      </c>
      <c r="E1232" s="18" t="s">
        <v>947</v>
      </c>
      <c r="F1232" s="39"/>
      <c r="G1232" s="28">
        <f t="shared" si="61"/>
        <v>0</v>
      </c>
    </row>
    <row r="1233" spans="2:7" outlineLevel="3" x14ac:dyDescent="0.3">
      <c r="B1233" s="44">
        <v>2.04</v>
      </c>
      <c r="C1233" s="38" t="s">
        <v>1865</v>
      </c>
      <c r="D1233" s="17">
        <v>55.76</v>
      </c>
      <c r="E1233" s="18" t="s">
        <v>947</v>
      </c>
      <c r="F1233" s="39"/>
      <c r="G1233" s="28">
        <f t="shared" si="61"/>
        <v>0</v>
      </c>
    </row>
    <row r="1234" spans="2:7" outlineLevel="3" x14ac:dyDescent="0.3">
      <c r="B1234" s="44">
        <v>2.0499999999999998</v>
      </c>
      <c r="C1234" s="38" t="s">
        <v>1865</v>
      </c>
      <c r="D1234" s="17">
        <v>32.799999999999997</v>
      </c>
      <c r="E1234" s="18" t="s">
        <v>947</v>
      </c>
      <c r="F1234" s="39"/>
      <c r="G1234" s="28">
        <f t="shared" si="61"/>
        <v>0</v>
      </c>
    </row>
    <row r="1235" spans="2:7" outlineLevel="3" x14ac:dyDescent="0.3">
      <c r="B1235" s="44">
        <v>2.06</v>
      </c>
      <c r="C1235" s="38" t="s">
        <v>1865</v>
      </c>
      <c r="D1235" s="17">
        <v>22.96</v>
      </c>
      <c r="E1235" s="18" t="s">
        <v>947</v>
      </c>
      <c r="F1235" s="39"/>
      <c r="G1235" s="28">
        <f t="shared" si="61"/>
        <v>0</v>
      </c>
    </row>
    <row r="1236" spans="2:7" outlineLevel="3" x14ac:dyDescent="0.3">
      <c r="B1236" s="44">
        <v>2.0699999999999998</v>
      </c>
      <c r="C1236" s="38" t="s">
        <v>1865</v>
      </c>
      <c r="D1236" s="17">
        <v>42.84</v>
      </c>
      <c r="E1236" s="18" t="s">
        <v>947</v>
      </c>
      <c r="F1236" s="39"/>
      <c r="G1236" s="28">
        <f t="shared" si="61"/>
        <v>0</v>
      </c>
    </row>
    <row r="1237" spans="2:7" outlineLevel="3" x14ac:dyDescent="0.3">
      <c r="B1237" s="44">
        <v>2.08</v>
      </c>
      <c r="C1237" s="38" t="s">
        <v>1882</v>
      </c>
      <c r="D1237" s="17">
        <v>33.81</v>
      </c>
      <c r="E1237" s="18" t="s">
        <v>947</v>
      </c>
      <c r="F1237" s="39"/>
      <c r="G1237" s="28">
        <f t="shared" si="61"/>
        <v>0</v>
      </c>
    </row>
    <row r="1238" spans="2:7" outlineLevel="3" x14ac:dyDescent="0.3">
      <c r="B1238" s="44">
        <v>2.09</v>
      </c>
      <c r="C1238" s="38" t="s">
        <v>1883</v>
      </c>
      <c r="D1238" s="17">
        <v>6.56</v>
      </c>
      <c r="E1238" s="18" t="s">
        <v>947</v>
      </c>
      <c r="F1238" s="39"/>
      <c r="G1238" s="28">
        <f t="shared" si="61"/>
        <v>0</v>
      </c>
    </row>
    <row r="1239" spans="2:7" outlineLevel="3" x14ac:dyDescent="0.3">
      <c r="B1239" s="44">
        <v>2.1</v>
      </c>
      <c r="C1239" s="38" t="s">
        <v>1866</v>
      </c>
      <c r="D1239" s="17">
        <v>59</v>
      </c>
      <c r="E1239" s="18" t="s">
        <v>3</v>
      </c>
      <c r="F1239" s="39"/>
      <c r="G1239" s="28">
        <f t="shared" si="61"/>
        <v>0</v>
      </c>
    </row>
    <row r="1240" spans="2:7" outlineLevel="3" x14ac:dyDescent="0.3">
      <c r="B1240" s="44">
        <v>2.11</v>
      </c>
      <c r="C1240" s="38" t="s">
        <v>1866</v>
      </c>
      <c r="D1240" s="17">
        <v>9</v>
      </c>
      <c r="E1240" s="18" t="s">
        <v>3</v>
      </c>
      <c r="F1240" s="39"/>
      <c r="G1240" s="28">
        <f t="shared" si="61"/>
        <v>0</v>
      </c>
    </row>
    <row r="1241" spans="2:7" outlineLevel="3" x14ac:dyDescent="0.3">
      <c r="B1241" s="44">
        <v>2.12</v>
      </c>
      <c r="C1241" s="38" t="s">
        <v>1866</v>
      </c>
      <c r="D1241" s="17">
        <v>94</v>
      </c>
      <c r="E1241" s="18" t="s">
        <v>3</v>
      </c>
      <c r="F1241" s="39"/>
      <c r="G1241" s="28">
        <f t="shared" si="61"/>
        <v>0</v>
      </c>
    </row>
    <row r="1242" spans="2:7" outlineLevel="3" x14ac:dyDescent="0.3">
      <c r="B1242" s="44">
        <v>2.13</v>
      </c>
      <c r="C1242" s="38" t="s">
        <v>1866</v>
      </c>
      <c r="D1242" s="17">
        <v>12</v>
      </c>
      <c r="E1242" s="18" t="s">
        <v>3</v>
      </c>
      <c r="F1242" s="39"/>
      <c r="G1242" s="28">
        <f t="shared" si="61"/>
        <v>0</v>
      </c>
    </row>
    <row r="1243" spans="2:7" outlineLevel="3" x14ac:dyDescent="0.3">
      <c r="B1243" s="44">
        <v>2.14</v>
      </c>
      <c r="C1243" s="38" t="s">
        <v>1866</v>
      </c>
      <c r="D1243" s="17">
        <v>5.47</v>
      </c>
      <c r="E1243" s="18" t="s">
        <v>3</v>
      </c>
      <c r="F1243" s="39"/>
      <c r="G1243" s="28">
        <f t="shared" si="61"/>
        <v>0</v>
      </c>
    </row>
    <row r="1244" spans="2:7" outlineLevel="3" x14ac:dyDescent="0.3">
      <c r="B1244" s="44">
        <v>2.15</v>
      </c>
      <c r="C1244" s="38" t="s">
        <v>1866</v>
      </c>
      <c r="D1244" s="17">
        <v>44</v>
      </c>
      <c r="E1244" s="18" t="s">
        <v>3</v>
      </c>
      <c r="F1244" s="39"/>
      <c r="G1244" s="28">
        <f t="shared" si="61"/>
        <v>0</v>
      </c>
    </row>
    <row r="1245" spans="2:7" outlineLevel="3" x14ac:dyDescent="0.3">
      <c r="B1245" s="44">
        <v>2.16</v>
      </c>
      <c r="C1245" s="38" t="s">
        <v>1866</v>
      </c>
      <c r="D1245" s="17">
        <v>7.11</v>
      </c>
      <c r="E1245" s="18" t="s">
        <v>3</v>
      </c>
      <c r="F1245" s="39"/>
      <c r="G1245" s="28">
        <f t="shared" si="61"/>
        <v>0</v>
      </c>
    </row>
    <row r="1246" spans="2:7" outlineLevel="3" x14ac:dyDescent="0.3">
      <c r="B1246" s="44">
        <v>2.17</v>
      </c>
      <c r="C1246" s="38" t="s">
        <v>1866</v>
      </c>
      <c r="D1246" s="17">
        <v>0.55000000000000004</v>
      </c>
      <c r="E1246" s="18" t="s">
        <v>3</v>
      </c>
      <c r="F1246" s="39"/>
      <c r="G1246" s="28">
        <f t="shared" si="61"/>
        <v>0</v>
      </c>
    </row>
    <row r="1247" spans="2:7" outlineLevel="3" x14ac:dyDescent="0.3">
      <c r="B1247" s="44">
        <v>2.1800000000000002</v>
      </c>
      <c r="C1247" s="38" t="s">
        <v>1866</v>
      </c>
      <c r="D1247" s="17">
        <v>42</v>
      </c>
      <c r="E1247" s="18" t="s">
        <v>3</v>
      </c>
      <c r="F1247" s="39"/>
      <c r="G1247" s="28">
        <f t="shared" si="61"/>
        <v>0</v>
      </c>
    </row>
    <row r="1248" spans="2:7" outlineLevel="3" x14ac:dyDescent="0.3">
      <c r="B1248" s="44">
        <v>2.19</v>
      </c>
      <c r="C1248" s="38" t="s">
        <v>1884</v>
      </c>
      <c r="D1248" s="17">
        <v>5</v>
      </c>
      <c r="E1248" s="18" t="s">
        <v>3</v>
      </c>
      <c r="F1248" s="39"/>
      <c r="G1248" s="28">
        <f t="shared" si="61"/>
        <v>0</v>
      </c>
    </row>
    <row r="1249" spans="2:8" outlineLevel="3" x14ac:dyDescent="0.3">
      <c r="B1249" s="44">
        <v>2.2000000000000002</v>
      </c>
      <c r="C1249" s="38" t="s">
        <v>1885</v>
      </c>
      <c r="D1249" s="17">
        <v>13</v>
      </c>
      <c r="E1249" s="18" t="s">
        <v>3</v>
      </c>
      <c r="F1249" s="39"/>
      <c r="G1249" s="28">
        <f t="shared" si="61"/>
        <v>0</v>
      </c>
    </row>
    <row r="1250" spans="2:8" outlineLevel="3" x14ac:dyDescent="0.3">
      <c r="B1250" s="44">
        <v>2.21</v>
      </c>
      <c r="C1250" s="38" t="s">
        <v>1869</v>
      </c>
      <c r="D1250" s="17">
        <v>7</v>
      </c>
      <c r="E1250" s="18" t="s">
        <v>3</v>
      </c>
      <c r="F1250" s="39"/>
      <c r="G1250" s="28">
        <f t="shared" si="61"/>
        <v>0</v>
      </c>
    </row>
    <row r="1251" spans="2:8" outlineLevel="3" x14ac:dyDescent="0.3">
      <c r="B1251" s="44">
        <v>2.2200000000000002</v>
      </c>
      <c r="C1251" s="38" t="s">
        <v>1870</v>
      </c>
      <c r="D1251" s="17">
        <v>9</v>
      </c>
      <c r="E1251" s="18" t="s">
        <v>3</v>
      </c>
      <c r="F1251" s="39"/>
      <c r="G1251" s="28">
        <f t="shared" si="61"/>
        <v>0</v>
      </c>
    </row>
    <row r="1252" spans="2:8" outlineLevel="3" x14ac:dyDescent="0.3">
      <c r="B1252" s="44">
        <v>2.23</v>
      </c>
      <c r="C1252" s="38" t="s">
        <v>1886</v>
      </c>
      <c r="D1252" s="17">
        <v>1</v>
      </c>
      <c r="E1252" s="18" t="s">
        <v>3</v>
      </c>
      <c r="F1252" s="39"/>
      <c r="G1252" s="28">
        <f t="shared" si="61"/>
        <v>0</v>
      </c>
    </row>
    <row r="1253" spans="2:8" outlineLevel="3" x14ac:dyDescent="0.3">
      <c r="B1253" s="44">
        <v>2.2400000000000002</v>
      </c>
      <c r="C1253" s="38" t="s">
        <v>1820</v>
      </c>
      <c r="D1253" s="17">
        <v>300</v>
      </c>
      <c r="E1253" s="18" t="s">
        <v>1821</v>
      </c>
      <c r="F1253" s="39"/>
      <c r="G1253" s="28">
        <f t="shared" si="61"/>
        <v>0</v>
      </c>
    </row>
    <row r="1254" spans="2:8" outlineLevel="3" x14ac:dyDescent="0.3">
      <c r="B1254" s="44">
        <v>2.25</v>
      </c>
      <c r="C1254" s="38" t="s">
        <v>1822</v>
      </c>
      <c r="D1254" s="17">
        <v>46.58</v>
      </c>
      <c r="E1254" s="18" t="s">
        <v>3</v>
      </c>
      <c r="F1254" s="39"/>
      <c r="G1254" s="28">
        <f t="shared" si="61"/>
        <v>0</v>
      </c>
    </row>
    <row r="1255" spans="2:8" outlineLevel="3" x14ac:dyDescent="0.3">
      <c r="B1255" s="44">
        <v>2.2599999999999998</v>
      </c>
      <c r="C1255" s="38" t="s">
        <v>1823</v>
      </c>
      <c r="D1255" s="17">
        <v>1</v>
      </c>
      <c r="E1255" s="18" t="s">
        <v>3</v>
      </c>
      <c r="F1255" s="39"/>
      <c r="G1255" s="28">
        <f t="shared" si="61"/>
        <v>0</v>
      </c>
    </row>
    <row r="1256" spans="2:8" outlineLevel="3" x14ac:dyDescent="0.3">
      <c r="B1256" s="44">
        <v>2.27</v>
      </c>
      <c r="C1256" s="38" t="s">
        <v>1824</v>
      </c>
      <c r="D1256" s="17">
        <v>1</v>
      </c>
      <c r="E1256" s="18" t="s">
        <v>3</v>
      </c>
      <c r="F1256" s="39"/>
      <c r="G1256" s="28">
        <f t="shared" si="61"/>
        <v>0</v>
      </c>
    </row>
    <row r="1257" spans="2:8" outlineLevel="3" x14ac:dyDescent="0.3">
      <c r="B1257" s="44">
        <v>2.2799999999999998</v>
      </c>
      <c r="C1257" s="38" t="s">
        <v>1825</v>
      </c>
      <c r="D1257" s="17">
        <v>1</v>
      </c>
      <c r="E1257" s="18" t="s">
        <v>3</v>
      </c>
      <c r="F1257" s="39"/>
      <c r="G1257" s="28">
        <f t="shared" si="61"/>
        <v>0</v>
      </c>
    </row>
    <row r="1258" spans="2:8" outlineLevel="3" x14ac:dyDescent="0.3">
      <c r="B1258" s="44">
        <v>3.01</v>
      </c>
      <c r="C1258" s="38" t="s">
        <v>1826</v>
      </c>
      <c r="D1258" s="17">
        <v>3000</v>
      </c>
      <c r="E1258" s="18" t="s">
        <v>947</v>
      </c>
      <c r="F1258" s="39"/>
      <c r="G1258" s="28">
        <f t="shared" si="61"/>
        <v>0</v>
      </c>
    </row>
    <row r="1259" spans="2:8" outlineLevel="3" x14ac:dyDescent="0.3">
      <c r="B1259" s="44">
        <v>3.02</v>
      </c>
      <c r="C1259" s="38" t="s">
        <v>1827</v>
      </c>
      <c r="D1259" s="17">
        <v>38</v>
      </c>
      <c r="E1259" s="18" t="s">
        <v>3</v>
      </c>
      <c r="F1259" s="39"/>
      <c r="G1259" s="28">
        <f t="shared" si="61"/>
        <v>0</v>
      </c>
    </row>
    <row r="1260" spans="2:8" outlineLevel="3" x14ac:dyDescent="0.3">
      <c r="B1260" s="44">
        <v>3.03</v>
      </c>
      <c r="C1260" s="38" t="s">
        <v>1825</v>
      </c>
      <c r="D1260" s="17">
        <v>38</v>
      </c>
      <c r="E1260" s="18" t="s">
        <v>3</v>
      </c>
      <c r="F1260" s="39"/>
      <c r="G1260" s="28">
        <f t="shared" si="61"/>
        <v>0</v>
      </c>
      <c r="H1260" s="122"/>
    </row>
    <row r="1261" spans="2:8" outlineLevel="3" x14ac:dyDescent="0.3">
      <c r="B1261" s="44">
        <v>4.01</v>
      </c>
      <c r="C1261" s="38" t="s">
        <v>1828</v>
      </c>
      <c r="D1261" s="17">
        <v>35</v>
      </c>
      <c r="E1261" s="18" t="s">
        <v>3</v>
      </c>
      <c r="F1261" s="39"/>
      <c r="G1261" s="28">
        <f t="shared" si="61"/>
        <v>0</v>
      </c>
    </row>
    <row r="1262" spans="2:8" outlineLevel="3" x14ac:dyDescent="0.3">
      <c r="B1262" s="44">
        <v>4.0199999999999996</v>
      </c>
      <c r="C1262" s="38" t="s">
        <v>1829</v>
      </c>
      <c r="D1262" s="17">
        <v>35</v>
      </c>
      <c r="E1262" s="18" t="s">
        <v>3</v>
      </c>
      <c r="F1262" s="39"/>
      <c r="G1262" s="28">
        <f t="shared" si="61"/>
        <v>0</v>
      </c>
    </row>
    <row r="1263" spans="2:8" outlineLevel="3" x14ac:dyDescent="0.3">
      <c r="B1263" s="44">
        <v>4.03</v>
      </c>
      <c r="C1263" s="38" t="s">
        <v>1830</v>
      </c>
      <c r="D1263" s="17">
        <v>3</v>
      </c>
      <c r="E1263" s="18" t="s">
        <v>3</v>
      </c>
      <c r="F1263" s="39"/>
      <c r="G1263" s="28">
        <f t="shared" si="61"/>
        <v>0</v>
      </c>
    </row>
    <row r="1264" spans="2:8" outlineLevel="3" x14ac:dyDescent="0.3">
      <c r="B1264" s="44">
        <v>4.04</v>
      </c>
      <c r="C1264" s="38" t="s">
        <v>1831</v>
      </c>
      <c r="D1264" s="17">
        <v>35</v>
      </c>
      <c r="E1264" s="18" t="s">
        <v>3</v>
      </c>
      <c r="F1264" s="39"/>
      <c r="G1264" s="28">
        <f t="shared" si="61"/>
        <v>0</v>
      </c>
    </row>
    <row r="1265" spans="2:7" outlineLevel="3" x14ac:dyDescent="0.3">
      <c r="B1265" s="44"/>
      <c r="C1265" s="38"/>
      <c r="D1265" s="17"/>
      <c r="E1265" s="18"/>
      <c r="F1265" s="39"/>
      <c r="G1265" s="20"/>
    </row>
    <row r="1266" spans="2:7" outlineLevel="2" x14ac:dyDescent="0.3">
      <c r="B1266" s="29" t="s">
        <v>1887</v>
      </c>
      <c r="C1266" s="16" t="s">
        <v>1888</v>
      </c>
      <c r="D1266" s="17"/>
      <c r="E1266" s="18"/>
      <c r="F1266" s="19"/>
      <c r="G1266" s="20">
        <f>SUBTOTAL(9,G1267:G1312)</f>
        <v>0</v>
      </c>
    </row>
    <row r="1267" spans="2:7" outlineLevel="3" x14ac:dyDescent="0.3">
      <c r="B1267" s="44">
        <v>1.01</v>
      </c>
      <c r="C1267" s="38" t="s">
        <v>1874</v>
      </c>
      <c r="D1267" s="17">
        <v>1</v>
      </c>
      <c r="E1267" s="18" t="s">
        <v>3</v>
      </c>
      <c r="F1267" s="39"/>
      <c r="G1267" s="28">
        <f t="shared" ref="G1267:G1311" si="62">ROUNDUP(D1267*F1267,2)</f>
        <v>0</v>
      </c>
    </row>
    <row r="1268" spans="2:7" outlineLevel="3" x14ac:dyDescent="0.3">
      <c r="B1268" s="44">
        <v>1.02</v>
      </c>
      <c r="C1268" s="38" t="s">
        <v>1889</v>
      </c>
      <c r="D1268" s="17">
        <v>1</v>
      </c>
      <c r="E1268" s="18" t="s">
        <v>3</v>
      </c>
      <c r="F1268" s="39"/>
      <c r="G1268" s="28">
        <f t="shared" si="62"/>
        <v>0</v>
      </c>
    </row>
    <row r="1269" spans="2:7" outlineLevel="3" x14ac:dyDescent="0.3">
      <c r="B1269" s="44">
        <v>1.03</v>
      </c>
      <c r="C1269" s="38" t="s">
        <v>1876</v>
      </c>
      <c r="D1269" s="17">
        <v>1</v>
      </c>
      <c r="E1269" s="18" t="s">
        <v>3</v>
      </c>
      <c r="F1269" s="39"/>
      <c r="G1269" s="28">
        <f t="shared" si="62"/>
        <v>0</v>
      </c>
    </row>
    <row r="1270" spans="2:7" outlineLevel="3" x14ac:dyDescent="0.3">
      <c r="B1270" s="44">
        <v>1.04</v>
      </c>
      <c r="C1270" s="38" t="s">
        <v>1877</v>
      </c>
      <c r="D1270" s="17">
        <v>1</v>
      </c>
      <c r="E1270" s="18" t="s">
        <v>3</v>
      </c>
      <c r="F1270" s="39"/>
      <c r="G1270" s="28">
        <f t="shared" si="62"/>
        <v>0</v>
      </c>
    </row>
    <row r="1271" spans="2:7" outlineLevel="3" x14ac:dyDescent="0.3">
      <c r="B1271" s="44">
        <v>1.05</v>
      </c>
      <c r="C1271" s="38" t="s">
        <v>1878</v>
      </c>
      <c r="D1271" s="17">
        <v>13</v>
      </c>
      <c r="E1271" s="18" t="s">
        <v>3</v>
      </c>
      <c r="F1271" s="39"/>
      <c r="G1271" s="28">
        <f t="shared" si="62"/>
        <v>0</v>
      </c>
    </row>
    <row r="1272" spans="2:7" outlineLevel="3" x14ac:dyDescent="0.3">
      <c r="B1272" s="44">
        <v>1.06</v>
      </c>
      <c r="C1272" s="38" t="s">
        <v>1879</v>
      </c>
      <c r="D1272" s="17">
        <v>3</v>
      </c>
      <c r="E1272" s="18" t="s">
        <v>3</v>
      </c>
      <c r="F1272" s="39"/>
      <c r="G1272" s="28">
        <f t="shared" si="62"/>
        <v>0</v>
      </c>
    </row>
    <row r="1273" spans="2:7" outlineLevel="3" x14ac:dyDescent="0.3">
      <c r="B1273" s="44">
        <v>1.07</v>
      </c>
      <c r="C1273" s="38" t="s">
        <v>1880</v>
      </c>
      <c r="D1273" s="17">
        <v>17</v>
      </c>
      <c r="E1273" s="18" t="s">
        <v>3</v>
      </c>
      <c r="F1273" s="39"/>
      <c r="G1273" s="28">
        <f t="shared" si="62"/>
        <v>0</v>
      </c>
    </row>
    <row r="1274" spans="2:7" outlineLevel="3" x14ac:dyDescent="0.3">
      <c r="B1274" s="44">
        <v>1.08</v>
      </c>
      <c r="C1274" s="38" t="s">
        <v>1881</v>
      </c>
      <c r="D1274" s="17">
        <v>5</v>
      </c>
      <c r="E1274" s="18" t="s">
        <v>3</v>
      </c>
      <c r="F1274" s="39"/>
      <c r="G1274" s="28">
        <f t="shared" si="62"/>
        <v>0</v>
      </c>
    </row>
    <row r="1275" spans="2:7" outlineLevel="3" x14ac:dyDescent="0.3">
      <c r="B1275" s="44">
        <v>2.0099999999999998</v>
      </c>
      <c r="C1275" s="38" t="s">
        <v>1864</v>
      </c>
      <c r="D1275" s="17">
        <v>124.64</v>
      </c>
      <c r="E1275" s="18" t="s">
        <v>947</v>
      </c>
      <c r="F1275" s="39"/>
      <c r="G1275" s="28">
        <f t="shared" si="62"/>
        <v>0</v>
      </c>
    </row>
    <row r="1276" spans="2:7" outlineLevel="3" x14ac:dyDescent="0.3">
      <c r="B1276" s="44">
        <v>2.02</v>
      </c>
      <c r="C1276" s="38" t="s">
        <v>1864</v>
      </c>
      <c r="D1276" s="17">
        <v>59.04</v>
      </c>
      <c r="E1276" s="18" t="s">
        <v>947</v>
      </c>
      <c r="F1276" s="39"/>
      <c r="G1276" s="28">
        <f t="shared" si="62"/>
        <v>0</v>
      </c>
    </row>
    <row r="1277" spans="2:7" outlineLevel="3" x14ac:dyDescent="0.3">
      <c r="B1277" s="44">
        <v>2.0299999999999998</v>
      </c>
      <c r="C1277" s="38" t="s">
        <v>1890</v>
      </c>
      <c r="D1277" s="17">
        <v>154.16</v>
      </c>
      <c r="E1277" s="18" t="s">
        <v>947</v>
      </c>
      <c r="F1277" s="39"/>
      <c r="G1277" s="28">
        <f t="shared" si="62"/>
        <v>0</v>
      </c>
    </row>
    <row r="1278" spans="2:7" outlineLevel="3" x14ac:dyDescent="0.3">
      <c r="B1278" s="44">
        <v>2.04</v>
      </c>
      <c r="C1278" s="38" t="s">
        <v>1890</v>
      </c>
      <c r="D1278" s="17">
        <v>68.88</v>
      </c>
      <c r="E1278" s="18" t="s">
        <v>947</v>
      </c>
      <c r="F1278" s="39"/>
      <c r="G1278" s="28">
        <f t="shared" si="62"/>
        <v>0</v>
      </c>
    </row>
    <row r="1279" spans="2:7" outlineLevel="3" x14ac:dyDescent="0.3">
      <c r="B1279" s="44">
        <v>2.0499999999999998</v>
      </c>
      <c r="C1279" s="38" t="s">
        <v>1890</v>
      </c>
      <c r="D1279" s="17">
        <v>19.68</v>
      </c>
      <c r="E1279" s="18" t="s">
        <v>947</v>
      </c>
      <c r="F1279" s="39"/>
      <c r="G1279" s="28">
        <f t="shared" si="62"/>
        <v>0</v>
      </c>
    </row>
    <row r="1280" spans="2:7" outlineLevel="3" x14ac:dyDescent="0.3">
      <c r="B1280" s="44">
        <v>2.06</v>
      </c>
      <c r="C1280" s="38" t="s">
        <v>1890</v>
      </c>
      <c r="D1280" s="17">
        <v>39.36</v>
      </c>
      <c r="E1280" s="18" t="s">
        <v>947</v>
      </c>
      <c r="F1280" s="39"/>
      <c r="G1280" s="28">
        <f t="shared" si="62"/>
        <v>0</v>
      </c>
    </row>
    <row r="1281" spans="2:7" outlineLevel="3" x14ac:dyDescent="0.3">
      <c r="B1281" s="44">
        <v>2.0699999999999998</v>
      </c>
      <c r="C1281" s="38" t="s">
        <v>1883</v>
      </c>
      <c r="D1281" s="17">
        <v>52.48</v>
      </c>
      <c r="E1281" s="18" t="s">
        <v>947</v>
      </c>
      <c r="F1281" s="39"/>
      <c r="G1281" s="28">
        <f t="shared" si="62"/>
        <v>0</v>
      </c>
    </row>
    <row r="1282" spans="2:7" outlineLevel="3" x14ac:dyDescent="0.3">
      <c r="B1282" s="44">
        <v>2.08</v>
      </c>
      <c r="C1282" s="38" t="s">
        <v>1883</v>
      </c>
      <c r="D1282" s="17">
        <v>19.68</v>
      </c>
      <c r="E1282" s="18" t="s">
        <v>947</v>
      </c>
      <c r="F1282" s="39"/>
      <c r="G1282" s="28">
        <f t="shared" si="62"/>
        <v>0</v>
      </c>
    </row>
    <row r="1283" spans="2:7" outlineLevel="3" x14ac:dyDescent="0.3">
      <c r="B1283" s="44">
        <v>2.09</v>
      </c>
      <c r="C1283" s="38" t="s">
        <v>1891</v>
      </c>
      <c r="D1283" s="17">
        <v>13.12</v>
      </c>
      <c r="E1283" s="18" t="s">
        <v>947</v>
      </c>
      <c r="F1283" s="39"/>
      <c r="G1283" s="28">
        <f t="shared" si="62"/>
        <v>0</v>
      </c>
    </row>
    <row r="1284" spans="2:7" outlineLevel="3" x14ac:dyDescent="0.3">
      <c r="B1284" s="44">
        <v>2.1</v>
      </c>
      <c r="C1284" s="38" t="s">
        <v>1883</v>
      </c>
      <c r="D1284" s="17">
        <v>9.84</v>
      </c>
      <c r="E1284" s="18" t="s">
        <v>947</v>
      </c>
      <c r="F1284" s="39"/>
      <c r="G1284" s="28">
        <f t="shared" si="62"/>
        <v>0</v>
      </c>
    </row>
    <row r="1285" spans="2:7" outlineLevel="3" x14ac:dyDescent="0.3">
      <c r="B1285" s="44">
        <v>2.11</v>
      </c>
      <c r="C1285" s="38" t="s">
        <v>1892</v>
      </c>
      <c r="D1285" s="17">
        <v>39</v>
      </c>
      <c r="E1285" s="18" t="s">
        <v>3</v>
      </c>
      <c r="F1285" s="39"/>
      <c r="G1285" s="28">
        <f t="shared" si="62"/>
        <v>0</v>
      </c>
    </row>
    <row r="1286" spans="2:7" outlineLevel="3" x14ac:dyDescent="0.3">
      <c r="B1286" s="44">
        <v>2.12</v>
      </c>
      <c r="C1286" s="38" t="s">
        <v>1892</v>
      </c>
      <c r="D1286" s="17">
        <v>27</v>
      </c>
      <c r="E1286" s="18" t="s">
        <v>3</v>
      </c>
      <c r="F1286" s="39"/>
      <c r="G1286" s="28">
        <f t="shared" si="62"/>
        <v>0</v>
      </c>
    </row>
    <row r="1287" spans="2:7" outlineLevel="3" x14ac:dyDescent="0.3">
      <c r="B1287" s="44">
        <v>2.13</v>
      </c>
      <c r="C1287" s="38" t="s">
        <v>1892</v>
      </c>
      <c r="D1287" s="17">
        <v>57</v>
      </c>
      <c r="E1287" s="18" t="s">
        <v>3</v>
      </c>
      <c r="F1287" s="39"/>
      <c r="G1287" s="28">
        <f t="shared" si="62"/>
        <v>0</v>
      </c>
    </row>
    <row r="1288" spans="2:7" outlineLevel="3" x14ac:dyDescent="0.3">
      <c r="B1288" s="44">
        <v>2.14</v>
      </c>
      <c r="C1288" s="38" t="s">
        <v>1892</v>
      </c>
      <c r="D1288" s="17">
        <v>39</v>
      </c>
      <c r="E1288" s="18" t="s">
        <v>3</v>
      </c>
      <c r="F1288" s="39"/>
      <c r="G1288" s="28">
        <f t="shared" si="62"/>
        <v>0</v>
      </c>
    </row>
    <row r="1289" spans="2:7" outlineLevel="3" x14ac:dyDescent="0.3">
      <c r="B1289" s="44">
        <v>2.15</v>
      </c>
      <c r="C1289" s="38" t="s">
        <v>1892</v>
      </c>
      <c r="D1289" s="17">
        <v>3.28</v>
      </c>
      <c r="E1289" s="18" t="s">
        <v>3</v>
      </c>
      <c r="F1289" s="39"/>
      <c r="G1289" s="28">
        <f t="shared" si="62"/>
        <v>0</v>
      </c>
    </row>
    <row r="1290" spans="2:7" outlineLevel="3" x14ac:dyDescent="0.3">
      <c r="B1290" s="44">
        <v>2.16</v>
      </c>
      <c r="C1290" s="38" t="s">
        <v>1892</v>
      </c>
      <c r="D1290" s="17">
        <v>27</v>
      </c>
      <c r="E1290" s="18" t="s">
        <v>3</v>
      </c>
      <c r="F1290" s="39"/>
      <c r="G1290" s="28">
        <f t="shared" si="62"/>
        <v>0</v>
      </c>
    </row>
    <row r="1291" spans="2:7" outlineLevel="3" x14ac:dyDescent="0.3">
      <c r="B1291" s="44">
        <v>2.17</v>
      </c>
      <c r="C1291" s="38" t="s">
        <v>1892</v>
      </c>
      <c r="D1291" s="17">
        <v>8.75</v>
      </c>
      <c r="E1291" s="18" t="s">
        <v>3</v>
      </c>
      <c r="F1291" s="39"/>
      <c r="G1291" s="28">
        <f t="shared" si="62"/>
        <v>0</v>
      </c>
    </row>
    <row r="1292" spans="2:7" outlineLevel="3" x14ac:dyDescent="0.3">
      <c r="B1292" s="44">
        <v>2.1800000000000002</v>
      </c>
      <c r="C1292" s="38" t="s">
        <v>1893</v>
      </c>
      <c r="D1292" s="17">
        <v>9</v>
      </c>
      <c r="E1292" s="18" t="s">
        <v>3</v>
      </c>
      <c r="F1292" s="39"/>
      <c r="G1292" s="28">
        <f t="shared" si="62"/>
        <v>0</v>
      </c>
    </row>
    <row r="1293" spans="2:7" outlineLevel="3" x14ac:dyDescent="0.3">
      <c r="B1293" s="44">
        <v>2.19</v>
      </c>
      <c r="C1293" s="38" t="s">
        <v>1893</v>
      </c>
      <c r="D1293" s="17">
        <v>14</v>
      </c>
      <c r="E1293" s="18" t="s">
        <v>3</v>
      </c>
      <c r="F1293" s="39"/>
      <c r="G1293" s="28">
        <f t="shared" si="62"/>
        <v>0</v>
      </c>
    </row>
    <row r="1294" spans="2:7" outlineLevel="3" x14ac:dyDescent="0.3">
      <c r="B1294" s="44">
        <v>2.2000000000000002</v>
      </c>
      <c r="C1294" s="38" t="s">
        <v>1894</v>
      </c>
      <c r="D1294" s="17">
        <v>27</v>
      </c>
      <c r="E1294" s="18" t="s">
        <v>3</v>
      </c>
      <c r="F1294" s="39"/>
      <c r="G1294" s="28">
        <f t="shared" si="62"/>
        <v>0</v>
      </c>
    </row>
    <row r="1295" spans="2:7" outlineLevel="3" x14ac:dyDescent="0.3">
      <c r="B1295" s="44">
        <v>2.21</v>
      </c>
      <c r="C1295" s="38" t="s">
        <v>1867</v>
      </c>
      <c r="D1295" s="17">
        <v>6</v>
      </c>
      <c r="E1295" s="18" t="s">
        <v>3</v>
      </c>
      <c r="F1295" s="39"/>
      <c r="G1295" s="28">
        <f t="shared" si="62"/>
        <v>0</v>
      </c>
    </row>
    <row r="1296" spans="2:7" outlineLevel="3" x14ac:dyDescent="0.3">
      <c r="B1296" s="44">
        <v>2.2200000000000002</v>
      </c>
      <c r="C1296" s="38" t="s">
        <v>1885</v>
      </c>
      <c r="D1296" s="17">
        <v>19</v>
      </c>
      <c r="E1296" s="18" t="s">
        <v>3</v>
      </c>
      <c r="F1296" s="39"/>
      <c r="G1296" s="28">
        <f t="shared" si="62"/>
        <v>0</v>
      </c>
    </row>
    <row r="1297" spans="2:8" outlineLevel="3" x14ac:dyDescent="0.3">
      <c r="B1297" s="44">
        <v>2.23</v>
      </c>
      <c r="C1297" s="38" t="s">
        <v>1895</v>
      </c>
      <c r="D1297" s="17">
        <v>6</v>
      </c>
      <c r="E1297" s="18" t="s">
        <v>3</v>
      </c>
      <c r="F1297" s="39"/>
      <c r="G1297" s="28">
        <f t="shared" si="62"/>
        <v>0</v>
      </c>
    </row>
    <row r="1298" spans="2:8" outlineLevel="3" x14ac:dyDescent="0.3">
      <c r="B1298" s="44">
        <v>2.2400000000000002</v>
      </c>
      <c r="C1298" s="38" t="s">
        <v>1870</v>
      </c>
      <c r="D1298" s="17">
        <v>7</v>
      </c>
      <c r="E1298" s="18" t="s">
        <v>3</v>
      </c>
      <c r="F1298" s="39"/>
      <c r="G1298" s="28">
        <f t="shared" si="62"/>
        <v>0</v>
      </c>
    </row>
    <row r="1299" spans="2:8" outlineLevel="3" x14ac:dyDescent="0.3">
      <c r="B1299" s="44">
        <v>2.25</v>
      </c>
      <c r="C1299" s="38" t="s">
        <v>1896</v>
      </c>
      <c r="D1299" s="17">
        <v>1</v>
      </c>
      <c r="E1299" s="18" t="s">
        <v>3</v>
      </c>
      <c r="F1299" s="39"/>
      <c r="G1299" s="28">
        <f t="shared" si="62"/>
        <v>0</v>
      </c>
    </row>
    <row r="1300" spans="2:8" outlineLevel="3" x14ac:dyDescent="0.3">
      <c r="B1300" s="44">
        <v>2.2599999999999998</v>
      </c>
      <c r="C1300" s="38" t="s">
        <v>1820</v>
      </c>
      <c r="D1300" s="17">
        <v>250</v>
      </c>
      <c r="E1300" s="18" t="s">
        <v>1821</v>
      </c>
      <c r="F1300" s="39"/>
      <c r="G1300" s="28">
        <f t="shared" si="62"/>
        <v>0</v>
      </c>
    </row>
    <row r="1301" spans="2:8" outlineLevel="3" x14ac:dyDescent="0.3">
      <c r="B1301" s="44">
        <v>2.27</v>
      </c>
      <c r="C1301" s="38" t="s">
        <v>1822</v>
      </c>
      <c r="D1301" s="17">
        <v>56</v>
      </c>
      <c r="E1301" s="18" t="s">
        <v>3</v>
      </c>
      <c r="F1301" s="39"/>
      <c r="G1301" s="28">
        <f t="shared" si="62"/>
        <v>0</v>
      </c>
    </row>
    <row r="1302" spans="2:8" outlineLevel="3" x14ac:dyDescent="0.3">
      <c r="B1302" s="44">
        <v>2.2799999999999998</v>
      </c>
      <c r="C1302" s="38" t="s">
        <v>1823</v>
      </c>
      <c r="D1302" s="17">
        <v>1</v>
      </c>
      <c r="E1302" s="18" t="s">
        <v>3</v>
      </c>
      <c r="F1302" s="39"/>
      <c r="G1302" s="28">
        <f t="shared" si="62"/>
        <v>0</v>
      </c>
    </row>
    <row r="1303" spans="2:8" outlineLevel="3" x14ac:dyDescent="0.3">
      <c r="B1303" s="44">
        <v>2.29</v>
      </c>
      <c r="C1303" s="38" t="s">
        <v>1824</v>
      </c>
      <c r="D1303" s="17">
        <v>1</v>
      </c>
      <c r="E1303" s="18" t="s">
        <v>3</v>
      </c>
      <c r="F1303" s="39"/>
      <c r="G1303" s="28">
        <f t="shared" si="62"/>
        <v>0</v>
      </c>
    </row>
    <row r="1304" spans="2:8" outlineLevel="3" x14ac:dyDescent="0.3">
      <c r="B1304" s="44">
        <v>2.2999999999999998</v>
      </c>
      <c r="C1304" s="38" t="s">
        <v>1825</v>
      </c>
      <c r="D1304" s="17">
        <v>1</v>
      </c>
      <c r="E1304" s="18" t="s">
        <v>3</v>
      </c>
      <c r="F1304" s="39"/>
      <c r="G1304" s="28">
        <f t="shared" si="62"/>
        <v>0</v>
      </c>
    </row>
    <row r="1305" spans="2:8" outlineLevel="3" x14ac:dyDescent="0.3">
      <c r="B1305" s="44">
        <v>3.01</v>
      </c>
      <c r="C1305" s="38" t="s">
        <v>1826</v>
      </c>
      <c r="D1305" s="17">
        <v>3000</v>
      </c>
      <c r="E1305" s="18" t="s">
        <v>947</v>
      </c>
      <c r="F1305" s="39"/>
      <c r="G1305" s="28">
        <f t="shared" si="62"/>
        <v>0</v>
      </c>
    </row>
    <row r="1306" spans="2:8" outlineLevel="3" x14ac:dyDescent="0.3">
      <c r="B1306" s="44">
        <v>3.02</v>
      </c>
      <c r="C1306" s="38" t="s">
        <v>1827</v>
      </c>
      <c r="D1306" s="17">
        <v>42</v>
      </c>
      <c r="E1306" s="18" t="s">
        <v>3</v>
      </c>
      <c r="F1306" s="39"/>
      <c r="G1306" s="28">
        <f t="shared" si="62"/>
        <v>0</v>
      </c>
    </row>
    <row r="1307" spans="2:8" outlineLevel="3" x14ac:dyDescent="0.3">
      <c r="B1307" s="44">
        <v>3.03</v>
      </c>
      <c r="C1307" s="38" t="s">
        <v>1825</v>
      </c>
      <c r="D1307" s="17">
        <v>42</v>
      </c>
      <c r="E1307" s="18" t="s">
        <v>3</v>
      </c>
      <c r="F1307" s="39"/>
      <c r="G1307" s="28">
        <f t="shared" si="62"/>
        <v>0</v>
      </c>
      <c r="H1307" s="122"/>
    </row>
    <row r="1308" spans="2:8" outlineLevel="3" x14ac:dyDescent="0.3">
      <c r="B1308" s="44">
        <v>4.01</v>
      </c>
      <c r="C1308" s="38" t="s">
        <v>1828</v>
      </c>
      <c r="D1308" s="17">
        <v>38</v>
      </c>
      <c r="E1308" s="18" t="s">
        <v>3</v>
      </c>
      <c r="F1308" s="39"/>
      <c r="G1308" s="28">
        <f t="shared" si="62"/>
        <v>0</v>
      </c>
    </row>
    <row r="1309" spans="2:8" outlineLevel="3" x14ac:dyDescent="0.3">
      <c r="B1309" s="44">
        <v>4.0199999999999996</v>
      </c>
      <c r="C1309" s="38" t="s">
        <v>1829</v>
      </c>
      <c r="D1309" s="17">
        <v>38</v>
      </c>
      <c r="E1309" s="18" t="s">
        <v>3</v>
      </c>
      <c r="F1309" s="39"/>
      <c r="G1309" s="28">
        <f t="shared" si="62"/>
        <v>0</v>
      </c>
    </row>
    <row r="1310" spans="2:8" outlineLevel="3" x14ac:dyDescent="0.3">
      <c r="B1310" s="44">
        <v>4.03</v>
      </c>
      <c r="C1310" s="38" t="s">
        <v>1830</v>
      </c>
      <c r="D1310" s="17">
        <v>4</v>
      </c>
      <c r="E1310" s="18" t="s">
        <v>3</v>
      </c>
      <c r="F1310" s="39"/>
      <c r="G1310" s="28">
        <f t="shared" si="62"/>
        <v>0</v>
      </c>
    </row>
    <row r="1311" spans="2:8" outlineLevel="3" x14ac:dyDescent="0.3">
      <c r="B1311" s="44">
        <v>4.04</v>
      </c>
      <c r="C1311" s="38" t="s">
        <v>1831</v>
      </c>
      <c r="D1311" s="17">
        <v>38</v>
      </c>
      <c r="E1311" s="18" t="s">
        <v>3</v>
      </c>
      <c r="F1311" s="39"/>
      <c r="G1311" s="28">
        <f t="shared" si="62"/>
        <v>0</v>
      </c>
    </row>
    <row r="1312" spans="2:8" outlineLevel="3" x14ac:dyDescent="0.3">
      <c r="B1312" s="44"/>
      <c r="C1312" s="38"/>
      <c r="D1312" s="17"/>
      <c r="E1312" s="18"/>
      <c r="F1312" s="39"/>
      <c r="G1312" s="20"/>
    </row>
    <row r="1313" spans="2:7" outlineLevel="2" x14ac:dyDescent="0.3">
      <c r="B1313" s="29" t="s">
        <v>1897</v>
      </c>
      <c r="C1313" s="16" t="s">
        <v>1898</v>
      </c>
      <c r="D1313" s="17"/>
      <c r="E1313" s="18"/>
      <c r="F1313" s="19"/>
      <c r="G1313" s="20">
        <f>SUBTOTAL(9,G1314:G1357)</f>
        <v>0</v>
      </c>
    </row>
    <row r="1314" spans="2:7" outlineLevel="3" x14ac:dyDescent="0.3">
      <c r="B1314" s="44">
        <v>1.01</v>
      </c>
      <c r="C1314" s="38" t="s">
        <v>1874</v>
      </c>
      <c r="D1314" s="17">
        <v>2</v>
      </c>
      <c r="E1314" s="18" t="s">
        <v>3</v>
      </c>
      <c r="F1314" s="39"/>
      <c r="G1314" s="28">
        <f t="shared" ref="G1314:G1356" si="63">ROUNDUP(D1314*F1314,2)</f>
        <v>0</v>
      </c>
    </row>
    <row r="1315" spans="2:7" outlineLevel="3" x14ac:dyDescent="0.3">
      <c r="B1315" s="44">
        <v>1.02</v>
      </c>
      <c r="C1315" s="38" t="s">
        <v>1876</v>
      </c>
      <c r="D1315" s="17">
        <v>1</v>
      </c>
      <c r="E1315" s="18" t="s">
        <v>3</v>
      </c>
      <c r="F1315" s="39"/>
      <c r="G1315" s="28">
        <f t="shared" si="63"/>
        <v>0</v>
      </c>
    </row>
    <row r="1316" spans="2:7" outlineLevel="3" x14ac:dyDescent="0.3">
      <c r="B1316" s="44">
        <v>1.03</v>
      </c>
      <c r="C1316" s="38" t="s">
        <v>1877</v>
      </c>
      <c r="D1316" s="17">
        <v>1</v>
      </c>
      <c r="E1316" s="18" t="s">
        <v>3</v>
      </c>
      <c r="F1316" s="39"/>
      <c r="G1316" s="28">
        <f t="shared" si="63"/>
        <v>0</v>
      </c>
    </row>
    <row r="1317" spans="2:7" outlineLevel="3" x14ac:dyDescent="0.3">
      <c r="B1317" s="44">
        <v>1.04</v>
      </c>
      <c r="C1317" s="38" t="s">
        <v>1878</v>
      </c>
      <c r="D1317" s="17">
        <v>11</v>
      </c>
      <c r="E1317" s="18" t="s">
        <v>3</v>
      </c>
      <c r="F1317" s="39"/>
      <c r="G1317" s="28">
        <f t="shared" si="63"/>
        <v>0</v>
      </c>
    </row>
    <row r="1318" spans="2:7" outlineLevel="3" x14ac:dyDescent="0.3">
      <c r="B1318" s="44">
        <v>1.05</v>
      </c>
      <c r="C1318" s="38" t="s">
        <v>1879</v>
      </c>
      <c r="D1318" s="17">
        <v>6</v>
      </c>
      <c r="E1318" s="18" t="s">
        <v>3</v>
      </c>
      <c r="F1318" s="39"/>
      <c r="G1318" s="28">
        <f t="shared" si="63"/>
        <v>0</v>
      </c>
    </row>
    <row r="1319" spans="2:7" outlineLevel="3" x14ac:dyDescent="0.3">
      <c r="B1319" s="44">
        <v>1.06</v>
      </c>
      <c r="C1319" s="38" t="s">
        <v>1880</v>
      </c>
      <c r="D1319" s="17">
        <v>12</v>
      </c>
      <c r="E1319" s="18" t="s">
        <v>3</v>
      </c>
      <c r="F1319" s="39"/>
      <c r="G1319" s="28">
        <f t="shared" si="63"/>
        <v>0</v>
      </c>
    </row>
    <row r="1320" spans="2:7" outlineLevel="3" x14ac:dyDescent="0.3">
      <c r="B1320" s="44">
        <v>1.08</v>
      </c>
      <c r="C1320" s="38" t="s">
        <v>1881</v>
      </c>
      <c r="D1320" s="17">
        <v>5</v>
      </c>
      <c r="E1320" s="18" t="s">
        <v>3</v>
      </c>
      <c r="F1320" s="39"/>
      <c r="G1320" s="28">
        <f t="shared" si="63"/>
        <v>0</v>
      </c>
    </row>
    <row r="1321" spans="2:7" outlineLevel="3" x14ac:dyDescent="0.3">
      <c r="B1321" s="44">
        <v>2.0099999999999998</v>
      </c>
      <c r="C1321" s="38" t="s">
        <v>1864</v>
      </c>
      <c r="D1321" s="17">
        <v>375.52</v>
      </c>
      <c r="E1321" s="18" t="s">
        <v>947</v>
      </c>
      <c r="F1321" s="39"/>
      <c r="G1321" s="28">
        <f t="shared" si="63"/>
        <v>0</v>
      </c>
    </row>
    <row r="1322" spans="2:7" outlineLevel="3" x14ac:dyDescent="0.3">
      <c r="B1322" s="44">
        <v>2.02</v>
      </c>
      <c r="C1322" s="38" t="s">
        <v>1864</v>
      </c>
      <c r="D1322" s="17">
        <v>104.96</v>
      </c>
      <c r="E1322" s="18" t="s">
        <v>947</v>
      </c>
      <c r="F1322" s="39"/>
      <c r="G1322" s="28">
        <f t="shared" si="63"/>
        <v>0</v>
      </c>
    </row>
    <row r="1323" spans="2:7" outlineLevel="3" x14ac:dyDescent="0.3">
      <c r="B1323" s="44">
        <v>2.0299999999999998</v>
      </c>
      <c r="C1323" s="38" t="s">
        <v>1865</v>
      </c>
      <c r="D1323" s="17">
        <v>291.92</v>
      </c>
      <c r="E1323" s="18" t="s">
        <v>947</v>
      </c>
      <c r="F1323" s="39"/>
      <c r="G1323" s="28">
        <f t="shared" si="63"/>
        <v>0</v>
      </c>
    </row>
    <row r="1324" spans="2:7" outlineLevel="3" x14ac:dyDescent="0.3">
      <c r="B1324" s="44">
        <v>2.04</v>
      </c>
      <c r="C1324" s="38" t="s">
        <v>1865</v>
      </c>
      <c r="D1324" s="17">
        <v>104.96</v>
      </c>
      <c r="E1324" s="18" t="s">
        <v>947</v>
      </c>
      <c r="F1324" s="39"/>
      <c r="G1324" s="28">
        <f t="shared" si="63"/>
        <v>0</v>
      </c>
    </row>
    <row r="1325" spans="2:7" outlineLevel="3" x14ac:dyDescent="0.3">
      <c r="B1325" s="44">
        <v>2.0499999999999998</v>
      </c>
      <c r="C1325" s="38" t="s">
        <v>1865</v>
      </c>
      <c r="D1325" s="17">
        <v>32.799999999999997</v>
      </c>
      <c r="E1325" s="18" t="s">
        <v>947</v>
      </c>
      <c r="F1325" s="39"/>
      <c r="G1325" s="28">
        <f t="shared" si="63"/>
        <v>0</v>
      </c>
    </row>
    <row r="1326" spans="2:7" outlineLevel="3" x14ac:dyDescent="0.3">
      <c r="B1326" s="44">
        <v>2.06</v>
      </c>
      <c r="C1326" s="38" t="s">
        <v>1865</v>
      </c>
      <c r="D1326" s="17">
        <v>32.799999999999997</v>
      </c>
      <c r="E1326" s="18" t="s">
        <v>947</v>
      </c>
      <c r="F1326" s="39"/>
      <c r="G1326" s="28">
        <f t="shared" si="63"/>
        <v>0</v>
      </c>
    </row>
    <row r="1327" spans="2:7" outlineLevel="3" x14ac:dyDescent="0.3">
      <c r="B1327" s="44">
        <v>2.0699999999999998</v>
      </c>
      <c r="C1327" s="38" t="s">
        <v>1865</v>
      </c>
      <c r="D1327" s="17">
        <v>36.08</v>
      </c>
      <c r="E1327" s="18" t="s">
        <v>947</v>
      </c>
      <c r="F1327" s="39"/>
      <c r="G1327" s="28">
        <f t="shared" si="63"/>
        <v>0</v>
      </c>
    </row>
    <row r="1328" spans="2:7" outlineLevel="3" x14ac:dyDescent="0.3">
      <c r="B1328" s="44">
        <v>2.08</v>
      </c>
      <c r="C1328" s="38" t="s">
        <v>1883</v>
      </c>
      <c r="D1328" s="17">
        <v>50</v>
      </c>
      <c r="E1328" s="18" t="s">
        <v>947</v>
      </c>
      <c r="F1328" s="39"/>
      <c r="G1328" s="28">
        <f t="shared" si="63"/>
        <v>0</v>
      </c>
    </row>
    <row r="1329" spans="2:7" outlineLevel="3" x14ac:dyDescent="0.3">
      <c r="B1329" s="44">
        <v>2.09</v>
      </c>
      <c r="C1329" s="38" t="s">
        <v>1883</v>
      </c>
      <c r="D1329" s="17">
        <v>13.12</v>
      </c>
      <c r="E1329" s="18" t="s">
        <v>947</v>
      </c>
      <c r="F1329" s="39"/>
      <c r="G1329" s="28">
        <f t="shared" si="63"/>
        <v>0</v>
      </c>
    </row>
    <row r="1330" spans="2:7" outlineLevel="3" x14ac:dyDescent="0.3">
      <c r="B1330" s="44">
        <v>2.1</v>
      </c>
      <c r="C1330" s="38" t="s">
        <v>1866</v>
      </c>
      <c r="D1330" s="17">
        <v>64</v>
      </c>
      <c r="E1330" s="18" t="s">
        <v>3</v>
      </c>
      <c r="F1330" s="39"/>
      <c r="G1330" s="28">
        <f t="shared" si="63"/>
        <v>0</v>
      </c>
    </row>
    <row r="1331" spans="2:7" outlineLevel="3" x14ac:dyDescent="0.3">
      <c r="B1331" s="44">
        <v>2.11</v>
      </c>
      <c r="C1331" s="38" t="s">
        <v>1866</v>
      </c>
      <c r="D1331" s="17">
        <v>47</v>
      </c>
      <c r="E1331" s="18" t="s">
        <v>3</v>
      </c>
      <c r="F1331" s="39"/>
      <c r="G1331" s="28">
        <f t="shared" si="63"/>
        <v>0</v>
      </c>
    </row>
    <row r="1332" spans="2:7" outlineLevel="3" x14ac:dyDescent="0.3">
      <c r="B1332" s="44">
        <v>2.12</v>
      </c>
      <c r="C1332" s="38" t="s">
        <v>1866</v>
      </c>
      <c r="D1332" s="17">
        <v>62</v>
      </c>
      <c r="E1332" s="18" t="s">
        <v>3</v>
      </c>
      <c r="F1332" s="39"/>
      <c r="G1332" s="28">
        <f t="shared" si="63"/>
        <v>0</v>
      </c>
    </row>
    <row r="1333" spans="2:7" outlineLevel="3" x14ac:dyDescent="0.3">
      <c r="B1333" s="44">
        <v>2.13</v>
      </c>
      <c r="C1333" s="38" t="s">
        <v>1866</v>
      </c>
      <c r="D1333" s="17">
        <v>17.489999999999998</v>
      </c>
      <c r="E1333" s="18" t="s">
        <v>3</v>
      </c>
      <c r="F1333" s="39"/>
      <c r="G1333" s="28">
        <f t="shared" si="63"/>
        <v>0</v>
      </c>
    </row>
    <row r="1334" spans="2:7" outlineLevel="3" x14ac:dyDescent="0.3">
      <c r="B1334" s="44">
        <v>2.14</v>
      </c>
      <c r="C1334" s="38" t="s">
        <v>1866</v>
      </c>
      <c r="D1334" s="17">
        <v>32</v>
      </c>
      <c r="E1334" s="18" t="s">
        <v>3</v>
      </c>
      <c r="F1334" s="39"/>
      <c r="G1334" s="28">
        <f t="shared" si="63"/>
        <v>0</v>
      </c>
    </row>
    <row r="1335" spans="2:7" outlineLevel="3" x14ac:dyDescent="0.3">
      <c r="B1335" s="44">
        <v>2.15</v>
      </c>
      <c r="C1335" s="38" t="s">
        <v>1866</v>
      </c>
      <c r="D1335" s="17">
        <v>27</v>
      </c>
      <c r="E1335" s="18" t="s">
        <v>3</v>
      </c>
      <c r="F1335" s="39"/>
      <c r="G1335" s="28">
        <f t="shared" si="63"/>
        <v>0</v>
      </c>
    </row>
    <row r="1336" spans="2:7" outlineLevel="3" x14ac:dyDescent="0.3">
      <c r="B1336" s="44">
        <v>2.16</v>
      </c>
      <c r="C1336" s="38" t="s">
        <v>1899</v>
      </c>
      <c r="D1336" s="17">
        <v>12</v>
      </c>
      <c r="E1336" s="18" t="s">
        <v>3</v>
      </c>
      <c r="F1336" s="39"/>
      <c r="G1336" s="28">
        <f t="shared" si="63"/>
        <v>0</v>
      </c>
    </row>
    <row r="1337" spans="2:7" outlineLevel="3" x14ac:dyDescent="0.3">
      <c r="B1337" s="44">
        <v>2.17</v>
      </c>
      <c r="C1337" s="38" t="s">
        <v>1899</v>
      </c>
      <c r="D1337" s="17">
        <v>9</v>
      </c>
      <c r="E1337" s="18" t="s">
        <v>3</v>
      </c>
      <c r="F1337" s="39"/>
      <c r="G1337" s="28">
        <f t="shared" si="63"/>
        <v>0</v>
      </c>
    </row>
    <row r="1338" spans="2:7" outlineLevel="3" x14ac:dyDescent="0.3">
      <c r="B1338" s="44">
        <v>2.1800000000000002</v>
      </c>
      <c r="C1338" s="38" t="s">
        <v>1899</v>
      </c>
      <c r="D1338" s="17">
        <v>2.19</v>
      </c>
      <c r="E1338" s="18" t="s">
        <v>3</v>
      </c>
      <c r="F1338" s="39"/>
      <c r="G1338" s="28">
        <f t="shared" si="63"/>
        <v>0</v>
      </c>
    </row>
    <row r="1339" spans="2:7" outlineLevel="3" x14ac:dyDescent="0.3">
      <c r="B1339" s="44">
        <v>2.19</v>
      </c>
      <c r="C1339" s="38" t="s">
        <v>1900</v>
      </c>
      <c r="D1339" s="17">
        <v>2</v>
      </c>
      <c r="E1339" s="18" t="s">
        <v>3</v>
      </c>
      <c r="F1339" s="39"/>
      <c r="G1339" s="28">
        <f t="shared" si="63"/>
        <v>0</v>
      </c>
    </row>
    <row r="1340" spans="2:7" outlineLevel="3" x14ac:dyDescent="0.3">
      <c r="B1340" s="44">
        <v>2.2000000000000002</v>
      </c>
      <c r="C1340" s="38" t="s">
        <v>1901</v>
      </c>
      <c r="D1340" s="17">
        <v>4</v>
      </c>
      <c r="E1340" s="18" t="s">
        <v>3</v>
      </c>
      <c r="F1340" s="39"/>
      <c r="G1340" s="28">
        <f t="shared" si="63"/>
        <v>0</v>
      </c>
    </row>
    <row r="1341" spans="2:7" outlineLevel="3" x14ac:dyDescent="0.3">
      <c r="B1341" s="44">
        <v>2.21</v>
      </c>
      <c r="C1341" s="38" t="s">
        <v>1885</v>
      </c>
      <c r="D1341" s="17">
        <v>13</v>
      </c>
      <c r="E1341" s="18" t="s">
        <v>3</v>
      </c>
      <c r="F1341" s="39"/>
      <c r="G1341" s="28">
        <f t="shared" si="63"/>
        <v>0</v>
      </c>
    </row>
    <row r="1342" spans="2:7" outlineLevel="3" x14ac:dyDescent="0.3">
      <c r="B1342" s="44">
        <v>2.2200000000000002</v>
      </c>
      <c r="C1342" s="38" t="s">
        <v>1869</v>
      </c>
      <c r="D1342" s="17">
        <v>6</v>
      </c>
      <c r="E1342" s="18" t="s">
        <v>3</v>
      </c>
      <c r="F1342" s="39"/>
      <c r="G1342" s="28">
        <f t="shared" si="63"/>
        <v>0</v>
      </c>
    </row>
    <row r="1343" spans="2:7" outlineLevel="3" x14ac:dyDescent="0.3">
      <c r="B1343" s="44">
        <v>2.23</v>
      </c>
      <c r="C1343" s="38" t="s">
        <v>1870</v>
      </c>
      <c r="D1343" s="17">
        <v>9</v>
      </c>
      <c r="E1343" s="18" t="s">
        <v>3</v>
      </c>
      <c r="F1343" s="39"/>
      <c r="G1343" s="28">
        <f t="shared" si="63"/>
        <v>0</v>
      </c>
    </row>
    <row r="1344" spans="2:7" outlineLevel="3" x14ac:dyDescent="0.3">
      <c r="B1344" s="44">
        <v>2.2400000000000002</v>
      </c>
      <c r="C1344" s="38" t="s">
        <v>1902</v>
      </c>
      <c r="D1344" s="17">
        <v>1</v>
      </c>
      <c r="E1344" s="18" t="s">
        <v>3</v>
      </c>
      <c r="F1344" s="39"/>
      <c r="G1344" s="28">
        <f t="shared" si="63"/>
        <v>0</v>
      </c>
    </row>
    <row r="1345" spans="2:8" outlineLevel="3" x14ac:dyDescent="0.3">
      <c r="B1345" s="44">
        <v>2.25</v>
      </c>
      <c r="C1345" s="38" t="s">
        <v>1820</v>
      </c>
      <c r="D1345" s="17">
        <v>250</v>
      </c>
      <c r="E1345" s="18" t="s">
        <v>1821</v>
      </c>
      <c r="F1345" s="39"/>
      <c r="G1345" s="28">
        <f t="shared" si="63"/>
        <v>0</v>
      </c>
    </row>
    <row r="1346" spans="2:8" outlineLevel="3" x14ac:dyDescent="0.3">
      <c r="B1346" s="44">
        <v>2.2599999999999998</v>
      </c>
      <c r="C1346" s="38" t="s">
        <v>1822</v>
      </c>
      <c r="D1346" s="17">
        <v>94.22</v>
      </c>
      <c r="E1346" s="18" t="s">
        <v>3</v>
      </c>
      <c r="F1346" s="39"/>
      <c r="G1346" s="28">
        <f t="shared" si="63"/>
        <v>0</v>
      </c>
    </row>
    <row r="1347" spans="2:8" outlineLevel="3" x14ac:dyDescent="0.3">
      <c r="B1347" s="44">
        <v>2.27</v>
      </c>
      <c r="C1347" s="38" t="s">
        <v>1903</v>
      </c>
      <c r="D1347" s="17">
        <v>1</v>
      </c>
      <c r="E1347" s="18" t="s">
        <v>3</v>
      </c>
      <c r="F1347" s="39"/>
      <c r="G1347" s="28">
        <f t="shared" si="63"/>
        <v>0</v>
      </c>
    </row>
    <row r="1348" spans="2:8" outlineLevel="3" x14ac:dyDescent="0.3">
      <c r="B1348" s="44">
        <v>2.2799999999999998</v>
      </c>
      <c r="C1348" s="38" t="s">
        <v>1904</v>
      </c>
      <c r="D1348" s="17">
        <v>1</v>
      </c>
      <c r="E1348" s="18" t="s">
        <v>3</v>
      </c>
      <c r="F1348" s="39"/>
      <c r="G1348" s="28">
        <f t="shared" si="63"/>
        <v>0</v>
      </c>
    </row>
    <row r="1349" spans="2:8" outlineLevel="3" x14ac:dyDescent="0.3">
      <c r="B1349" s="44">
        <v>2.29</v>
      </c>
      <c r="C1349" s="38" t="s">
        <v>1825</v>
      </c>
      <c r="D1349" s="17">
        <v>1</v>
      </c>
      <c r="E1349" s="18" t="s">
        <v>3</v>
      </c>
      <c r="F1349" s="39"/>
      <c r="G1349" s="28">
        <f t="shared" si="63"/>
        <v>0</v>
      </c>
    </row>
    <row r="1350" spans="2:8" outlineLevel="3" x14ac:dyDescent="0.3">
      <c r="B1350" s="44">
        <v>3.01</v>
      </c>
      <c r="C1350" s="38" t="s">
        <v>1826</v>
      </c>
      <c r="D1350" s="17">
        <v>3000</v>
      </c>
      <c r="E1350" s="18" t="s">
        <v>947</v>
      </c>
      <c r="F1350" s="39"/>
      <c r="G1350" s="28">
        <f t="shared" si="63"/>
        <v>0</v>
      </c>
    </row>
    <row r="1351" spans="2:8" outlineLevel="3" x14ac:dyDescent="0.3">
      <c r="B1351" s="44">
        <v>3.02</v>
      </c>
      <c r="C1351" s="38" t="s">
        <v>1827</v>
      </c>
      <c r="D1351" s="17">
        <v>38</v>
      </c>
      <c r="E1351" s="18" t="s">
        <v>3</v>
      </c>
      <c r="F1351" s="39"/>
      <c r="G1351" s="28">
        <f t="shared" si="63"/>
        <v>0</v>
      </c>
    </row>
    <row r="1352" spans="2:8" outlineLevel="3" x14ac:dyDescent="0.3">
      <c r="B1352" s="44">
        <v>3.03</v>
      </c>
      <c r="C1352" s="38" t="s">
        <v>1825</v>
      </c>
      <c r="D1352" s="17">
        <v>38</v>
      </c>
      <c r="E1352" s="18" t="s">
        <v>3</v>
      </c>
      <c r="F1352" s="39"/>
      <c r="G1352" s="28">
        <f t="shared" si="63"/>
        <v>0</v>
      </c>
      <c r="H1352" s="122"/>
    </row>
    <row r="1353" spans="2:8" outlineLevel="3" x14ac:dyDescent="0.3">
      <c r="B1353" s="44">
        <v>4.01</v>
      </c>
      <c r="C1353" s="38" t="s">
        <v>1828</v>
      </c>
      <c r="D1353" s="17">
        <v>34</v>
      </c>
      <c r="E1353" s="18" t="s">
        <v>3</v>
      </c>
      <c r="F1353" s="39"/>
      <c r="G1353" s="28">
        <f t="shared" si="63"/>
        <v>0</v>
      </c>
    </row>
    <row r="1354" spans="2:8" outlineLevel="3" x14ac:dyDescent="0.3">
      <c r="B1354" s="44">
        <v>4.0199999999999996</v>
      </c>
      <c r="C1354" s="38" t="s">
        <v>1829</v>
      </c>
      <c r="D1354" s="17">
        <v>34</v>
      </c>
      <c r="E1354" s="18" t="s">
        <v>3</v>
      </c>
      <c r="F1354" s="39"/>
      <c r="G1354" s="28">
        <f t="shared" si="63"/>
        <v>0</v>
      </c>
    </row>
    <row r="1355" spans="2:8" outlineLevel="3" x14ac:dyDescent="0.3">
      <c r="B1355" s="44">
        <v>4.03</v>
      </c>
      <c r="C1355" s="38" t="s">
        <v>1830</v>
      </c>
      <c r="D1355" s="17">
        <v>4</v>
      </c>
      <c r="E1355" s="18" t="s">
        <v>3</v>
      </c>
      <c r="F1355" s="39"/>
      <c r="G1355" s="28">
        <f t="shared" si="63"/>
        <v>0</v>
      </c>
    </row>
    <row r="1356" spans="2:8" outlineLevel="3" x14ac:dyDescent="0.3">
      <c r="B1356" s="44">
        <v>4.04</v>
      </c>
      <c r="C1356" s="38" t="s">
        <v>1831</v>
      </c>
      <c r="D1356" s="17">
        <v>34</v>
      </c>
      <c r="E1356" s="18" t="s">
        <v>3</v>
      </c>
      <c r="F1356" s="39"/>
      <c r="G1356" s="28">
        <f t="shared" si="63"/>
        <v>0</v>
      </c>
    </row>
    <row r="1357" spans="2:8" outlineLevel="3" x14ac:dyDescent="0.3">
      <c r="B1357" s="44"/>
      <c r="C1357" s="38"/>
      <c r="D1357" s="17"/>
      <c r="E1357" s="18"/>
      <c r="F1357" s="39"/>
      <c r="G1357" s="20"/>
    </row>
    <row r="1358" spans="2:8" outlineLevel="2" x14ac:dyDescent="0.3">
      <c r="B1358" s="29" t="s">
        <v>1905</v>
      </c>
      <c r="C1358" s="16" t="s">
        <v>1906</v>
      </c>
      <c r="D1358" s="17"/>
      <c r="E1358" s="18"/>
      <c r="F1358" s="19"/>
      <c r="G1358" s="20">
        <f>SUBTOTAL(9,G1359:G1401)</f>
        <v>0</v>
      </c>
    </row>
    <row r="1359" spans="2:8" outlineLevel="3" x14ac:dyDescent="0.3">
      <c r="B1359" s="44">
        <v>1.01</v>
      </c>
      <c r="C1359" s="38" t="s">
        <v>1874</v>
      </c>
      <c r="D1359" s="17">
        <v>2</v>
      </c>
      <c r="E1359" s="18" t="s">
        <v>3</v>
      </c>
      <c r="F1359" s="39"/>
      <c r="G1359" s="28">
        <f t="shared" ref="G1359:G1400" si="64">ROUNDUP(D1359*F1359,2)</f>
        <v>0</v>
      </c>
    </row>
    <row r="1360" spans="2:8" outlineLevel="3" x14ac:dyDescent="0.3">
      <c r="B1360" s="44">
        <v>1.02</v>
      </c>
      <c r="C1360" s="38" t="s">
        <v>1875</v>
      </c>
      <c r="D1360" s="17">
        <v>1</v>
      </c>
      <c r="E1360" s="18" t="s">
        <v>3</v>
      </c>
      <c r="F1360" s="39"/>
      <c r="G1360" s="28">
        <f t="shared" si="64"/>
        <v>0</v>
      </c>
    </row>
    <row r="1361" spans="2:7" outlineLevel="3" x14ac:dyDescent="0.3">
      <c r="B1361" s="44">
        <v>1.04</v>
      </c>
      <c r="C1361" s="38" t="s">
        <v>1878</v>
      </c>
      <c r="D1361" s="17">
        <v>6</v>
      </c>
      <c r="E1361" s="18" t="s">
        <v>3</v>
      </c>
      <c r="F1361" s="39"/>
      <c r="G1361" s="28">
        <f t="shared" si="64"/>
        <v>0</v>
      </c>
    </row>
    <row r="1362" spans="2:7" outlineLevel="3" x14ac:dyDescent="0.3">
      <c r="B1362" s="44">
        <v>1.05</v>
      </c>
      <c r="C1362" s="38" t="s">
        <v>1879</v>
      </c>
      <c r="D1362" s="17">
        <v>15</v>
      </c>
      <c r="E1362" s="18" t="s">
        <v>3</v>
      </c>
      <c r="F1362" s="39"/>
      <c r="G1362" s="28">
        <f t="shared" si="64"/>
        <v>0</v>
      </c>
    </row>
    <row r="1363" spans="2:7" outlineLevel="3" x14ac:dyDescent="0.3">
      <c r="B1363" s="44">
        <v>1.06</v>
      </c>
      <c r="C1363" s="38" t="s">
        <v>1880</v>
      </c>
      <c r="D1363" s="17">
        <v>12</v>
      </c>
      <c r="E1363" s="18" t="s">
        <v>3</v>
      </c>
      <c r="F1363" s="39"/>
      <c r="G1363" s="28">
        <f t="shared" si="64"/>
        <v>0</v>
      </c>
    </row>
    <row r="1364" spans="2:7" outlineLevel="3" x14ac:dyDescent="0.3">
      <c r="B1364" s="44">
        <v>1.08</v>
      </c>
      <c r="C1364" s="38" t="s">
        <v>1881</v>
      </c>
      <c r="D1364" s="17">
        <v>2</v>
      </c>
      <c r="E1364" s="18" t="s">
        <v>3</v>
      </c>
      <c r="F1364" s="39"/>
      <c r="G1364" s="28">
        <f t="shared" si="64"/>
        <v>0</v>
      </c>
    </row>
    <row r="1365" spans="2:7" outlineLevel="3" x14ac:dyDescent="0.3">
      <c r="B1365" s="44">
        <v>2.0099999999999998</v>
      </c>
      <c r="C1365" s="38" t="s">
        <v>1864</v>
      </c>
      <c r="D1365" s="17">
        <v>288.64</v>
      </c>
      <c r="E1365" s="18" t="s">
        <v>947</v>
      </c>
      <c r="F1365" s="39"/>
      <c r="G1365" s="28">
        <f t="shared" si="64"/>
        <v>0</v>
      </c>
    </row>
    <row r="1366" spans="2:7" outlineLevel="3" x14ac:dyDescent="0.3">
      <c r="B1366" s="44">
        <v>2.02</v>
      </c>
      <c r="C1366" s="38" t="s">
        <v>1864</v>
      </c>
      <c r="D1366" s="17">
        <v>32.799999999999997</v>
      </c>
      <c r="E1366" s="18" t="s">
        <v>947</v>
      </c>
      <c r="F1366" s="39"/>
      <c r="G1366" s="28">
        <f t="shared" si="64"/>
        <v>0</v>
      </c>
    </row>
    <row r="1367" spans="2:7" outlineLevel="3" x14ac:dyDescent="0.3">
      <c r="B1367" s="44">
        <v>2.0299999999999998</v>
      </c>
      <c r="C1367" s="38" t="s">
        <v>1865</v>
      </c>
      <c r="D1367" s="17">
        <v>68.88</v>
      </c>
      <c r="E1367" s="18" t="s">
        <v>947</v>
      </c>
      <c r="F1367" s="39"/>
      <c r="G1367" s="28">
        <f t="shared" si="64"/>
        <v>0</v>
      </c>
    </row>
    <row r="1368" spans="2:7" outlineLevel="3" x14ac:dyDescent="0.3">
      <c r="B1368" s="44">
        <v>2.04</v>
      </c>
      <c r="C1368" s="38" t="s">
        <v>1865</v>
      </c>
      <c r="D1368" s="17">
        <v>308.32</v>
      </c>
      <c r="E1368" s="18" t="s">
        <v>947</v>
      </c>
      <c r="F1368" s="39"/>
      <c r="G1368" s="28">
        <f t="shared" si="64"/>
        <v>0</v>
      </c>
    </row>
    <row r="1369" spans="2:7" outlineLevel="3" x14ac:dyDescent="0.3">
      <c r="B1369" s="44">
        <v>2.0499999999999998</v>
      </c>
      <c r="C1369" s="38" t="s">
        <v>1865</v>
      </c>
      <c r="D1369" s="17">
        <v>82</v>
      </c>
      <c r="E1369" s="18" t="s">
        <v>947</v>
      </c>
      <c r="F1369" s="39"/>
      <c r="G1369" s="28">
        <f t="shared" si="64"/>
        <v>0</v>
      </c>
    </row>
    <row r="1370" spans="2:7" outlineLevel="3" x14ac:dyDescent="0.3">
      <c r="B1370" s="44">
        <v>2.06</v>
      </c>
      <c r="C1370" s="38" t="s">
        <v>1865</v>
      </c>
      <c r="D1370" s="17">
        <v>60</v>
      </c>
      <c r="E1370" s="18" t="s">
        <v>947</v>
      </c>
      <c r="F1370" s="39"/>
      <c r="G1370" s="28">
        <f t="shared" si="64"/>
        <v>0</v>
      </c>
    </row>
    <row r="1371" spans="2:7" outlineLevel="3" x14ac:dyDescent="0.3">
      <c r="B1371" s="44">
        <v>2.0699999999999998</v>
      </c>
      <c r="C1371" s="38" t="s">
        <v>1865</v>
      </c>
      <c r="D1371" s="17">
        <v>45.92</v>
      </c>
      <c r="E1371" s="18" t="s">
        <v>947</v>
      </c>
      <c r="F1371" s="39"/>
      <c r="G1371" s="28">
        <f t="shared" si="64"/>
        <v>0</v>
      </c>
    </row>
    <row r="1372" spans="2:7" outlineLevel="3" x14ac:dyDescent="0.3">
      <c r="B1372" s="44">
        <v>2.08</v>
      </c>
      <c r="C1372" s="38" t="s">
        <v>1883</v>
      </c>
      <c r="D1372" s="17">
        <v>39.36</v>
      </c>
      <c r="E1372" s="18" t="s">
        <v>947</v>
      </c>
      <c r="F1372" s="39"/>
      <c r="G1372" s="28">
        <f t="shared" si="64"/>
        <v>0</v>
      </c>
    </row>
    <row r="1373" spans="2:7" outlineLevel="3" x14ac:dyDescent="0.3">
      <c r="B1373" s="44">
        <v>2.09</v>
      </c>
      <c r="C1373" s="38" t="s">
        <v>1883</v>
      </c>
      <c r="D1373" s="17">
        <v>19.68</v>
      </c>
      <c r="E1373" s="18" t="s">
        <v>947</v>
      </c>
      <c r="F1373" s="39"/>
      <c r="G1373" s="28">
        <f t="shared" si="64"/>
        <v>0</v>
      </c>
    </row>
    <row r="1374" spans="2:7" outlineLevel="3" x14ac:dyDescent="0.3">
      <c r="B1374" s="44">
        <v>2.1</v>
      </c>
      <c r="C1374" s="38" t="s">
        <v>1866</v>
      </c>
      <c r="D1374" s="17">
        <v>42</v>
      </c>
      <c r="E1374" s="18" t="s">
        <v>3</v>
      </c>
      <c r="F1374" s="39"/>
      <c r="G1374" s="28">
        <f t="shared" si="64"/>
        <v>0</v>
      </c>
    </row>
    <row r="1375" spans="2:7" outlineLevel="3" x14ac:dyDescent="0.3">
      <c r="B1375" s="44">
        <v>2.11</v>
      </c>
      <c r="C1375" s="38" t="s">
        <v>1866</v>
      </c>
      <c r="D1375" s="17">
        <v>28</v>
      </c>
      <c r="E1375" s="18" t="s">
        <v>3</v>
      </c>
      <c r="F1375" s="39"/>
      <c r="G1375" s="28">
        <f t="shared" si="64"/>
        <v>0</v>
      </c>
    </row>
    <row r="1376" spans="2:7" outlineLevel="3" x14ac:dyDescent="0.3">
      <c r="B1376" s="44">
        <v>2.12</v>
      </c>
      <c r="C1376" s="38" t="s">
        <v>1866</v>
      </c>
      <c r="D1376" s="17">
        <v>55</v>
      </c>
      <c r="E1376" s="18" t="s">
        <v>3</v>
      </c>
      <c r="F1376" s="39"/>
      <c r="G1376" s="28">
        <f t="shared" si="64"/>
        <v>0</v>
      </c>
    </row>
    <row r="1377" spans="2:7" outlineLevel="3" x14ac:dyDescent="0.3">
      <c r="B1377" s="44">
        <v>2.13</v>
      </c>
      <c r="C1377" s="38" t="s">
        <v>1866</v>
      </c>
      <c r="D1377" s="17">
        <v>25</v>
      </c>
      <c r="E1377" s="18" t="s">
        <v>3</v>
      </c>
      <c r="F1377" s="39"/>
      <c r="G1377" s="28">
        <f t="shared" si="64"/>
        <v>0</v>
      </c>
    </row>
    <row r="1378" spans="2:7" outlineLevel="3" x14ac:dyDescent="0.3">
      <c r="B1378" s="44">
        <v>2.14</v>
      </c>
      <c r="C1378" s="38" t="s">
        <v>1866</v>
      </c>
      <c r="D1378" s="17">
        <v>18</v>
      </c>
      <c r="E1378" s="18" t="s">
        <v>3</v>
      </c>
      <c r="F1378" s="39"/>
      <c r="G1378" s="28">
        <f t="shared" si="64"/>
        <v>0</v>
      </c>
    </row>
    <row r="1379" spans="2:7" outlineLevel="3" x14ac:dyDescent="0.3">
      <c r="B1379" s="44">
        <v>2.15</v>
      </c>
      <c r="C1379" s="38" t="s">
        <v>1866</v>
      </c>
      <c r="D1379" s="17">
        <v>32</v>
      </c>
      <c r="E1379" s="18" t="s">
        <v>3</v>
      </c>
      <c r="F1379" s="39"/>
      <c r="G1379" s="28">
        <f t="shared" si="64"/>
        <v>0</v>
      </c>
    </row>
    <row r="1380" spans="2:7" outlineLevel="3" x14ac:dyDescent="0.3">
      <c r="B1380" s="44">
        <v>2.16</v>
      </c>
      <c r="C1380" s="38" t="s">
        <v>1899</v>
      </c>
      <c r="D1380" s="17">
        <v>15</v>
      </c>
      <c r="E1380" s="18" t="s">
        <v>3</v>
      </c>
      <c r="F1380" s="39"/>
      <c r="G1380" s="28">
        <f t="shared" si="64"/>
        <v>0</v>
      </c>
    </row>
    <row r="1381" spans="2:7" outlineLevel="3" x14ac:dyDescent="0.3">
      <c r="B1381" s="44">
        <v>2.17</v>
      </c>
      <c r="C1381" s="38" t="s">
        <v>1899</v>
      </c>
      <c r="D1381" s="17">
        <v>8</v>
      </c>
      <c r="E1381" s="18" t="s">
        <v>3</v>
      </c>
      <c r="F1381" s="39"/>
      <c r="G1381" s="28">
        <f t="shared" si="64"/>
        <v>0</v>
      </c>
    </row>
    <row r="1382" spans="2:7" outlineLevel="3" x14ac:dyDescent="0.3">
      <c r="B1382" s="44">
        <v>2.1800000000000002</v>
      </c>
      <c r="C1382" s="38" t="s">
        <v>1899</v>
      </c>
      <c r="D1382" s="17">
        <v>5</v>
      </c>
      <c r="E1382" s="18" t="s">
        <v>3</v>
      </c>
      <c r="F1382" s="39"/>
      <c r="G1382" s="28">
        <f t="shared" si="64"/>
        <v>0</v>
      </c>
    </row>
    <row r="1383" spans="2:7" outlineLevel="3" x14ac:dyDescent="0.3">
      <c r="B1383" s="44">
        <v>2.19</v>
      </c>
      <c r="C1383" s="38" t="s">
        <v>1867</v>
      </c>
      <c r="D1383" s="17">
        <v>3</v>
      </c>
      <c r="E1383" s="18" t="s">
        <v>3</v>
      </c>
      <c r="F1383" s="39"/>
      <c r="G1383" s="28">
        <f t="shared" si="64"/>
        <v>0</v>
      </c>
    </row>
    <row r="1384" spans="2:7" outlineLevel="3" x14ac:dyDescent="0.3">
      <c r="B1384" s="44">
        <v>2.2000000000000002</v>
      </c>
      <c r="C1384" s="38" t="s">
        <v>1885</v>
      </c>
      <c r="D1384" s="17">
        <v>8</v>
      </c>
      <c r="E1384" s="18" t="s">
        <v>3</v>
      </c>
      <c r="F1384" s="39"/>
      <c r="G1384" s="28">
        <f t="shared" si="64"/>
        <v>0</v>
      </c>
    </row>
    <row r="1385" spans="2:7" outlineLevel="3" x14ac:dyDescent="0.3">
      <c r="B1385" s="44">
        <v>2.21</v>
      </c>
      <c r="C1385" s="38" t="s">
        <v>1869</v>
      </c>
      <c r="D1385" s="17">
        <v>12</v>
      </c>
      <c r="E1385" s="18" t="s">
        <v>3</v>
      </c>
      <c r="F1385" s="39"/>
      <c r="G1385" s="28">
        <f t="shared" si="64"/>
        <v>0</v>
      </c>
    </row>
    <row r="1386" spans="2:7" outlineLevel="3" x14ac:dyDescent="0.3">
      <c r="B1386" s="44">
        <v>2.2200000000000002</v>
      </c>
      <c r="C1386" s="38" t="s">
        <v>1870</v>
      </c>
      <c r="D1386" s="17">
        <v>18</v>
      </c>
      <c r="E1386" s="18" t="s">
        <v>3</v>
      </c>
      <c r="F1386" s="39"/>
      <c r="G1386" s="28">
        <f t="shared" si="64"/>
        <v>0</v>
      </c>
    </row>
    <row r="1387" spans="2:7" outlineLevel="3" x14ac:dyDescent="0.3">
      <c r="B1387" s="44">
        <v>2.23</v>
      </c>
      <c r="C1387" s="38" t="s">
        <v>1907</v>
      </c>
      <c r="D1387" s="17">
        <v>1</v>
      </c>
      <c r="E1387" s="18" t="s">
        <v>3</v>
      </c>
      <c r="F1387" s="39"/>
      <c r="G1387" s="28">
        <f t="shared" si="64"/>
        <v>0</v>
      </c>
    </row>
    <row r="1388" spans="2:7" outlineLevel="3" x14ac:dyDescent="0.3">
      <c r="B1388" s="44">
        <v>2.2400000000000002</v>
      </c>
      <c r="C1388" s="38" t="s">
        <v>1820</v>
      </c>
      <c r="D1388" s="17">
        <v>200</v>
      </c>
      <c r="E1388" s="18" t="s">
        <v>1821</v>
      </c>
      <c r="F1388" s="39"/>
      <c r="G1388" s="28">
        <f t="shared" si="64"/>
        <v>0</v>
      </c>
    </row>
    <row r="1389" spans="2:7" outlineLevel="3" x14ac:dyDescent="0.3">
      <c r="B1389" s="44">
        <v>2.25</v>
      </c>
      <c r="C1389" s="38" t="s">
        <v>1822</v>
      </c>
      <c r="D1389" s="17">
        <v>72.5</v>
      </c>
      <c r="E1389" s="18" t="s">
        <v>3</v>
      </c>
      <c r="F1389" s="39"/>
      <c r="G1389" s="28">
        <f t="shared" si="64"/>
        <v>0</v>
      </c>
    </row>
    <row r="1390" spans="2:7" outlineLevel="3" x14ac:dyDescent="0.3">
      <c r="B1390" s="44">
        <v>2.2599999999999998</v>
      </c>
      <c r="C1390" s="38" t="s">
        <v>1903</v>
      </c>
      <c r="D1390" s="17">
        <v>1</v>
      </c>
      <c r="E1390" s="18" t="s">
        <v>3</v>
      </c>
      <c r="F1390" s="39"/>
      <c r="G1390" s="28">
        <f t="shared" si="64"/>
        <v>0</v>
      </c>
    </row>
    <row r="1391" spans="2:7" outlineLevel="3" x14ac:dyDescent="0.3">
      <c r="B1391" s="44">
        <v>2.27</v>
      </c>
      <c r="C1391" s="38" t="s">
        <v>1904</v>
      </c>
      <c r="D1391" s="17">
        <v>1</v>
      </c>
      <c r="E1391" s="18" t="s">
        <v>3</v>
      </c>
      <c r="F1391" s="39"/>
      <c r="G1391" s="28">
        <f t="shared" si="64"/>
        <v>0</v>
      </c>
    </row>
    <row r="1392" spans="2:7" outlineLevel="3" x14ac:dyDescent="0.3">
      <c r="B1392" s="44">
        <v>2.2799999999999998</v>
      </c>
      <c r="C1392" s="38" t="s">
        <v>1825</v>
      </c>
      <c r="D1392" s="17">
        <v>1</v>
      </c>
      <c r="E1392" s="18" t="s">
        <v>3</v>
      </c>
      <c r="F1392" s="39"/>
      <c r="G1392" s="28">
        <f t="shared" si="64"/>
        <v>0</v>
      </c>
    </row>
    <row r="1393" spans="2:8" outlineLevel="3" x14ac:dyDescent="0.3">
      <c r="B1393" s="44">
        <v>3.01</v>
      </c>
      <c r="C1393" s="38" t="s">
        <v>1826</v>
      </c>
      <c r="D1393" s="17">
        <v>1000</v>
      </c>
      <c r="E1393" s="18" t="s">
        <v>947</v>
      </c>
      <c r="F1393" s="39"/>
      <c r="G1393" s="28">
        <f t="shared" si="64"/>
        <v>0</v>
      </c>
    </row>
    <row r="1394" spans="2:8" outlineLevel="3" x14ac:dyDescent="0.3">
      <c r="B1394" s="44">
        <v>3.02</v>
      </c>
      <c r="C1394" s="38" t="s">
        <v>1827</v>
      </c>
      <c r="D1394" s="17">
        <v>6</v>
      </c>
      <c r="E1394" s="18" t="s">
        <v>3</v>
      </c>
      <c r="F1394" s="39"/>
      <c r="G1394" s="28">
        <f t="shared" si="64"/>
        <v>0</v>
      </c>
    </row>
    <row r="1395" spans="2:8" outlineLevel="3" x14ac:dyDescent="0.3">
      <c r="B1395" s="44">
        <v>3.03</v>
      </c>
      <c r="C1395" s="38" t="s">
        <v>1825</v>
      </c>
      <c r="D1395" s="17">
        <v>6</v>
      </c>
      <c r="E1395" s="18" t="s">
        <v>3</v>
      </c>
      <c r="F1395" s="39"/>
      <c r="G1395" s="28">
        <f t="shared" si="64"/>
        <v>0</v>
      </c>
      <c r="H1395" s="122"/>
    </row>
    <row r="1396" spans="2:8" outlineLevel="3" x14ac:dyDescent="0.3">
      <c r="B1396" s="44">
        <v>4.01</v>
      </c>
      <c r="C1396" s="38" t="s">
        <v>1828</v>
      </c>
      <c r="D1396" s="17">
        <v>5</v>
      </c>
      <c r="E1396" s="18" t="s">
        <v>3</v>
      </c>
      <c r="F1396" s="39"/>
      <c r="G1396" s="28">
        <f t="shared" si="64"/>
        <v>0</v>
      </c>
    </row>
    <row r="1397" spans="2:8" outlineLevel="3" x14ac:dyDescent="0.3">
      <c r="B1397" s="44">
        <v>4.0199999999999996</v>
      </c>
      <c r="C1397" s="38" t="s">
        <v>1829</v>
      </c>
      <c r="D1397" s="17">
        <v>5</v>
      </c>
      <c r="E1397" s="18" t="s">
        <v>3</v>
      </c>
      <c r="F1397" s="39"/>
      <c r="G1397" s="28">
        <f t="shared" si="64"/>
        <v>0</v>
      </c>
    </row>
    <row r="1398" spans="2:8" outlineLevel="3" x14ac:dyDescent="0.3">
      <c r="B1398" s="44">
        <v>4.03</v>
      </c>
      <c r="C1398" s="38" t="s">
        <v>1830</v>
      </c>
      <c r="D1398" s="17">
        <v>1</v>
      </c>
      <c r="E1398" s="18" t="s">
        <v>3</v>
      </c>
      <c r="F1398" s="39"/>
      <c r="G1398" s="28">
        <f t="shared" si="64"/>
        <v>0</v>
      </c>
    </row>
    <row r="1399" spans="2:8" outlineLevel="3" x14ac:dyDescent="0.3">
      <c r="B1399" s="44">
        <v>4.04</v>
      </c>
      <c r="C1399" s="38" t="s">
        <v>1831</v>
      </c>
      <c r="D1399" s="17">
        <v>5</v>
      </c>
      <c r="E1399" s="18" t="s">
        <v>3</v>
      </c>
      <c r="F1399" s="39"/>
      <c r="G1399" s="28">
        <f t="shared" si="64"/>
        <v>0</v>
      </c>
    </row>
    <row r="1400" spans="2:8" ht="27.6" outlineLevel="3" x14ac:dyDescent="0.3">
      <c r="B1400" s="44">
        <v>4.05</v>
      </c>
      <c r="C1400" s="38" t="s">
        <v>1908</v>
      </c>
      <c r="D1400" s="17">
        <v>1</v>
      </c>
      <c r="E1400" s="18" t="s">
        <v>3</v>
      </c>
      <c r="F1400" s="39"/>
      <c r="G1400" s="28">
        <f t="shared" si="64"/>
        <v>0</v>
      </c>
      <c r="H1400" s="122"/>
    </row>
    <row r="1401" spans="2:8" outlineLevel="3" x14ac:dyDescent="0.3">
      <c r="B1401" s="44"/>
      <c r="C1401" s="38"/>
      <c r="D1401" s="17"/>
      <c r="E1401" s="18"/>
      <c r="F1401" s="39"/>
      <c r="G1401" s="20"/>
    </row>
    <row r="1402" spans="2:8" outlineLevel="2" x14ac:dyDescent="0.3">
      <c r="B1402" s="44"/>
      <c r="C1402" s="38"/>
      <c r="D1402" s="17"/>
      <c r="E1402" s="18"/>
      <c r="F1402" s="39"/>
      <c r="G1402" s="20"/>
    </row>
    <row r="1403" spans="2:8" outlineLevel="1" x14ac:dyDescent="0.3">
      <c r="B1403" s="103">
        <v>4.0199999999999996</v>
      </c>
      <c r="C1403" s="22" t="s">
        <v>1909</v>
      </c>
      <c r="D1403" s="23"/>
      <c r="E1403" s="24"/>
      <c r="F1403" s="25"/>
      <c r="G1403" s="26">
        <f>+SUBTOTAL(9,G1404:G1412)</f>
        <v>0</v>
      </c>
    </row>
    <row r="1404" spans="2:8" ht="110.4" outlineLevel="2" x14ac:dyDescent="0.3">
      <c r="B1404" s="44">
        <v>1.1000000000000001</v>
      </c>
      <c r="C1404" s="38" t="s">
        <v>1910</v>
      </c>
      <c r="D1404" s="17">
        <v>2185</v>
      </c>
      <c r="E1404" s="18" t="s">
        <v>3</v>
      </c>
      <c r="F1404" s="39"/>
      <c r="G1404" s="28">
        <f t="shared" ref="G1404:G1411" si="65">ROUNDUP(D1404*F1404,2)</f>
        <v>0</v>
      </c>
    </row>
    <row r="1405" spans="2:8" ht="179.4" outlineLevel="2" x14ac:dyDescent="0.3">
      <c r="B1405" s="44">
        <v>1.2</v>
      </c>
      <c r="C1405" s="38" t="s">
        <v>1911</v>
      </c>
      <c r="D1405" s="17">
        <v>2680</v>
      </c>
      <c r="E1405" s="18" t="s">
        <v>1912</v>
      </c>
      <c r="F1405" s="39"/>
      <c r="G1405" s="28">
        <f t="shared" si="65"/>
        <v>0</v>
      </c>
    </row>
    <row r="1406" spans="2:8" ht="69" outlineLevel="2" x14ac:dyDescent="0.3">
      <c r="B1406" s="44">
        <v>1.3</v>
      </c>
      <c r="C1406" s="38" t="s">
        <v>1913</v>
      </c>
      <c r="D1406" s="17">
        <v>19.010000000000002</v>
      </c>
      <c r="E1406" s="18" t="s">
        <v>10</v>
      </c>
      <c r="F1406" s="39"/>
      <c r="G1406" s="28">
        <f t="shared" si="65"/>
        <v>0</v>
      </c>
    </row>
    <row r="1407" spans="2:8" outlineLevel="2" x14ac:dyDescent="0.3">
      <c r="B1407" s="44">
        <v>1.4</v>
      </c>
      <c r="C1407" s="38" t="s">
        <v>1914</v>
      </c>
      <c r="D1407" s="17">
        <v>124</v>
      </c>
      <c r="E1407" s="18" t="s">
        <v>3</v>
      </c>
      <c r="F1407" s="39"/>
      <c r="G1407" s="28">
        <f t="shared" si="65"/>
        <v>0</v>
      </c>
    </row>
    <row r="1408" spans="2:8" ht="41.4" outlineLevel="2" x14ac:dyDescent="0.3">
      <c r="B1408" s="44">
        <v>1.5</v>
      </c>
      <c r="C1408" s="38" t="s">
        <v>1915</v>
      </c>
      <c r="D1408" s="17">
        <v>63</v>
      </c>
      <c r="E1408" s="18" t="s">
        <v>3</v>
      </c>
      <c r="F1408" s="39"/>
      <c r="G1408" s="28">
        <f t="shared" si="65"/>
        <v>0</v>
      </c>
    </row>
    <row r="1409" spans="2:8" ht="41.4" outlineLevel="2" x14ac:dyDescent="0.3">
      <c r="B1409" s="44">
        <v>1.6</v>
      </c>
      <c r="C1409" s="38" t="s">
        <v>1916</v>
      </c>
      <c r="D1409" s="17">
        <v>17</v>
      </c>
      <c r="E1409" s="18" t="s">
        <v>3</v>
      </c>
      <c r="F1409" s="39"/>
      <c r="G1409" s="28">
        <f t="shared" si="65"/>
        <v>0</v>
      </c>
    </row>
    <row r="1410" spans="2:8" ht="27.6" outlineLevel="2" x14ac:dyDescent="0.3">
      <c r="B1410" s="44">
        <v>1.7</v>
      </c>
      <c r="C1410" s="38" t="s">
        <v>1917</v>
      </c>
      <c r="D1410" s="17">
        <v>66</v>
      </c>
      <c r="E1410" s="18" t="s">
        <v>3</v>
      </c>
      <c r="F1410" s="39"/>
      <c r="G1410" s="28">
        <f t="shared" si="65"/>
        <v>0</v>
      </c>
    </row>
    <row r="1411" spans="2:8" outlineLevel="2" x14ac:dyDescent="0.3">
      <c r="B1411" s="44">
        <v>1.8</v>
      </c>
      <c r="C1411" s="38" t="s">
        <v>1918</v>
      </c>
      <c r="D1411" s="17">
        <v>2680</v>
      </c>
      <c r="E1411" s="18" t="s">
        <v>2285</v>
      </c>
      <c r="F1411" s="39"/>
      <c r="G1411" s="28">
        <f t="shared" si="65"/>
        <v>0</v>
      </c>
      <c r="H1411" s="122"/>
    </row>
    <row r="1412" spans="2:8" outlineLevel="2" x14ac:dyDescent="0.3">
      <c r="B1412" s="44"/>
      <c r="C1412" s="38"/>
      <c r="D1412" s="17"/>
      <c r="E1412" s="18"/>
      <c r="F1412" s="39"/>
      <c r="G1412" s="20"/>
    </row>
    <row r="1413" spans="2:8" outlineLevel="1" x14ac:dyDescent="0.3">
      <c r="B1413" s="103">
        <v>4.03</v>
      </c>
      <c r="C1413" s="22" t="s">
        <v>1919</v>
      </c>
      <c r="D1413" s="23"/>
      <c r="E1413" s="24"/>
      <c r="F1413" s="25"/>
      <c r="G1413" s="26">
        <f>+SUBTOTAL(9,G1414:G1420)</f>
        <v>0</v>
      </c>
    </row>
    <row r="1414" spans="2:8" ht="41.4" outlineLevel="2" x14ac:dyDescent="0.3">
      <c r="B1414" s="44">
        <v>1.1000000000000001</v>
      </c>
      <c r="C1414" s="38" t="s">
        <v>1920</v>
      </c>
      <c r="D1414" s="17">
        <v>2</v>
      </c>
      <c r="E1414" s="18" t="s">
        <v>581</v>
      </c>
      <c r="F1414" s="39"/>
      <c r="G1414" s="28">
        <f t="shared" ref="G1414:G1419" si="66">ROUNDUP(D1414*F1414,2)</f>
        <v>0</v>
      </c>
      <c r="H1414" s="122"/>
    </row>
    <row r="1415" spans="2:8" ht="41.4" outlineLevel="2" x14ac:dyDescent="0.3">
      <c r="B1415" s="44">
        <v>1.2</v>
      </c>
      <c r="C1415" s="38" t="s">
        <v>1921</v>
      </c>
      <c r="D1415" s="17">
        <v>1</v>
      </c>
      <c r="E1415" s="18" t="s">
        <v>581</v>
      </c>
      <c r="F1415" s="39"/>
      <c r="G1415" s="28">
        <f t="shared" si="66"/>
        <v>0</v>
      </c>
      <c r="H1415" s="122"/>
    </row>
    <row r="1416" spans="2:8" ht="41.4" outlineLevel="2" x14ac:dyDescent="0.3">
      <c r="B1416" s="44">
        <v>1.3</v>
      </c>
      <c r="C1416" s="38" t="s">
        <v>1922</v>
      </c>
      <c r="D1416" s="17">
        <v>1</v>
      </c>
      <c r="E1416" s="18" t="s">
        <v>581</v>
      </c>
      <c r="F1416" s="39"/>
      <c r="G1416" s="28">
        <f t="shared" si="66"/>
        <v>0</v>
      </c>
      <c r="H1416" s="122"/>
    </row>
    <row r="1417" spans="2:8" ht="27.6" outlineLevel="2" x14ac:dyDescent="0.3">
      <c r="B1417" s="44">
        <v>1.4</v>
      </c>
      <c r="C1417" s="38" t="s">
        <v>1923</v>
      </c>
      <c r="D1417" s="17">
        <v>4</v>
      </c>
      <c r="E1417" s="18" t="s">
        <v>581</v>
      </c>
      <c r="F1417" s="39"/>
      <c r="G1417" s="28">
        <f t="shared" si="66"/>
        <v>0</v>
      </c>
      <c r="H1417" s="122"/>
    </row>
    <row r="1418" spans="2:8" outlineLevel="2" x14ac:dyDescent="0.3">
      <c r="B1418" s="44">
        <v>1.5</v>
      </c>
      <c r="C1418" s="38" t="s">
        <v>1924</v>
      </c>
      <c r="D1418" s="17">
        <v>3</v>
      </c>
      <c r="E1418" s="18" t="s">
        <v>3</v>
      </c>
      <c r="F1418" s="39"/>
      <c r="G1418" s="28">
        <f t="shared" si="66"/>
        <v>0</v>
      </c>
    </row>
    <row r="1419" spans="2:8" ht="27.6" outlineLevel="2" x14ac:dyDescent="0.3">
      <c r="B1419" s="44">
        <v>1.6</v>
      </c>
      <c r="C1419" s="38" t="s">
        <v>1925</v>
      </c>
      <c r="D1419" s="17">
        <v>4</v>
      </c>
      <c r="E1419" s="18" t="s">
        <v>581</v>
      </c>
      <c r="F1419" s="39"/>
      <c r="G1419" s="28">
        <f t="shared" si="66"/>
        <v>0</v>
      </c>
      <c r="H1419" s="122"/>
    </row>
    <row r="1420" spans="2:8" outlineLevel="2" x14ac:dyDescent="0.3">
      <c r="B1420" s="44"/>
      <c r="C1420" s="38"/>
      <c r="D1420" s="17"/>
      <c r="E1420" s="18"/>
      <c r="F1420" s="39"/>
      <c r="G1420" s="20"/>
    </row>
    <row r="1421" spans="2:8" outlineLevel="1" x14ac:dyDescent="0.3">
      <c r="B1421" s="103">
        <v>4.04</v>
      </c>
      <c r="C1421" s="22" t="s">
        <v>1926</v>
      </c>
      <c r="D1421" s="23"/>
      <c r="E1421" s="24"/>
      <c r="F1421" s="25"/>
      <c r="G1421" s="26">
        <f>+SUBTOTAL(9,G1422:G1442)</f>
        <v>0</v>
      </c>
    </row>
    <row r="1422" spans="2:8" ht="41.4" outlineLevel="2" x14ac:dyDescent="0.3">
      <c r="B1422" s="44">
        <v>1.1000000000000001</v>
      </c>
      <c r="C1422" s="38" t="s">
        <v>1927</v>
      </c>
      <c r="D1422" s="17">
        <v>1</v>
      </c>
      <c r="E1422" s="18" t="s">
        <v>3</v>
      </c>
      <c r="F1422" s="39"/>
      <c r="G1422" s="28">
        <f t="shared" ref="G1422:G1441" si="67">ROUNDUP(D1422*F1422,2)</f>
        <v>0</v>
      </c>
    </row>
    <row r="1423" spans="2:8" ht="96.6" outlineLevel="2" x14ac:dyDescent="0.3">
      <c r="B1423" s="44">
        <v>1.2</v>
      </c>
      <c r="C1423" s="38" t="s">
        <v>1928</v>
      </c>
      <c r="D1423" s="17">
        <v>10</v>
      </c>
      <c r="E1423" s="18" t="s">
        <v>3</v>
      </c>
      <c r="F1423" s="39"/>
      <c r="G1423" s="28">
        <f t="shared" si="67"/>
        <v>0</v>
      </c>
    </row>
    <row r="1424" spans="2:8" ht="27.6" outlineLevel="2" x14ac:dyDescent="0.3">
      <c r="B1424" s="44">
        <v>1.3</v>
      </c>
      <c r="C1424" s="38" t="s">
        <v>1929</v>
      </c>
      <c r="D1424" s="17">
        <v>400</v>
      </c>
      <c r="E1424" s="18" t="s">
        <v>3</v>
      </c>
      <c r="F1424" s="39"/>
      <c r="G1424" s="28">
        <f t="shared" si="67"/>
        <v>0</v>
      </c>
    </row>
    <row r="1425" spans="2:10" ht="82.8" outlineLevel="2" x14ac:dyDescent="0.3">
      <c r="B1425" s="44">
        <v>1.4</v>
      </c>
      <c r="C1425" s="38" t="s">
        <v>1930</v>
      </c>
      <c r="D1425" s="17">
        <v>6</v>
      </c>
      <c r="E1425" s="18" t="s">
        <v>3</v>
      </c>
      <c r="F1425" s="39"/>
      <c r="G1425" s="28">
        <f t="shared" si="67"/>
        <v>0</v>
      </c>
    </row>
    <row r="1426" spans="2:10" ht="55.2" outlineLevel="2" x14ac:dyDescent="0.3">
      <c r="B1426" s="44">
        <v>1.5</v>
      </c>
      <c r="C1426" s="38" t="s">
        <v>1931</v>
      </c>
      <c r="D1426" s="17">
        <v>1</v>
      </c>
      <c r="E1426" s="18" t="s">
        <v>3</v>
      </c>
      <c r="F1426" s="39"/>
      <c r="G1426" s="28">
        <f t="shared" si="67"/>
        <v>0</v>
      </c>
    </row>
    <row r="1427" spans="2:10" ht="55.2" outlineLevel="2" x14ac:dyDescent="0.3">
      <c r="B1427" s="44">
        <v>1.6</v>
      </c>
      <c r="C1427" s="38" t="s">
        <v>1932</v>
      </c>
      <c r="D1427" s="17">
        <v>4</v>
      </c>
      <c r="E1427" s="18" t="s">
        <v>3</v>
      </c>
      <c r="F1427" s="39"/>
      <c r="G1427" s="28">
        <f t="shared" si="67"/>
        <v>0</v>
      </c>
    </row>
    <row r="1428" spans="2:10" ht="69" outlineLevel="2" x14ac:dyDescent="0.3">
      <c r="B1428" s="44">
        <v>1.7</v>
      </c>
      <c r="C1428" s="38" t="s">
        <v>1933</v>
      </c>
      <c r="D1428" s="17">
        <v>6</v>
      </c>
      <c r="E1428" s="18" t="s">
        <v>3</v>
      </c>
      <c r="F1428" s="39"/>
      <c r="G1428" s="28">
        <f t="shared" si="67"/>
        <v>0</v>
      </c>
    </row>
    <row r="1429" spans="2:10" outlineLevel="2" x14ac:dyDescent="0.3">
      <c r="B1429" s="44">
        <v>1.8</v>
      </c>
      <c r="C1429" s="38" t="s">
        <v>1934</v>
      </c>
      <c r="D1429" s="17">
        <v>6</v>
      </c>
      <c r="E1429" s="18" t="s">
        <v>3</v>
      </c>
      <c r="F1429" s="39"/>
      <c r="G1429" s="28">
        <f t="shared" si="67"/>
        <v>0</v>
      </c>
    </row>
    <row r="1430" spans="2:10" outlineLevel="2" x14ac:dyDescent="0.3">
      <c r="B1430" s="44">
        <v>1.9</v>
      </c>
      <c r="C1430" s="38" t="s">
        <v>1935</v>
      </c>
      <c r="D1430" s="17">
        <v>6</v>
      </c>
      <c r="E1430" s="18" t="s">
        <v>3</v>
      </c>
      <c r="F1430" s="39"/>
      <c r="G1430" s="28">
        <f t="shared" si="67"/>
        <v>0</v>
      </c>
    </row>
    <row r="1431" spans="2:10" ht="41.4" outlineLevel="2" x14ac:dyDescent="0.3">
      <c r="B1431" s="44">
        <v>1.1000000000000001</v>
      </c>
      <c r="C1431" s="38" t="s">
        <v>1936</v>
      </c>
      <c r="D1431" s="17">
        <v>23.716480000000001</v>
      </c>
      <c r="E1431" s="18" t="s">
        <v>2284</v>
      </c>
      <c r="F1431" s="39"/>
      <c r="G1431" s="28">
        <f t="shared" si="67"/>
        <v>0</v>
      </c>
      <c r="H1431" s="122"/>
      <c r="J1431" s="120"/>
    </row>
    <row r="1432" spans="2:10" ht="27.6" outlineLevel="2" x14ac:dyDescent="0.3">
      <c r="B1432" s="44">
        <v>2.1</v>
      </c>
      <c r="C1432" s="38" t="s">
        <v>1937</v>
      </c>
      <c r="D1432" s="17">
        <v>2</v>
      </c>
      <c r="E1432" s="18" t="s">
        <v>3</v>
      </c>
      <c r="F1432" s="39"/>
      <c r="G1432" s="28">
        <f t="shared" si="67"/>
        <v>0</v>
      </c>
    </row>
    <row r="1433" spans="2:10" ht="96.6" outlineLevel="2" x14ac:dyDescent="0.3">
      <c r="B1433" s="44">
        <v>2.2000000000000002</v>
      </c>
      <c r="C1433" s="38" t="s">
        <v>1938</v>
      </c>
      <c r="D1433" s="17">
        <v>4</v>
      </c>
      <c r="E1433" s="18" t="s">
        <v>3</v>
      </c>
      <c r="F1433" s="39"/>
      <c r="G1433" s="28">
        <f t="shared" si="67"/>
        <v>0</v>
      </c>
    </row>
    <row r="1434" spans="2:10" ht="138" outlineLevel="2" x14ac:dyDescent="0.3">
      <c r="B1434" s="44">
        <v>2.2999999999999998</v>
      </c>
      <c r="C1434" s="38" t="s">
        <v>1939</v>
      </c>
      <c r="D1434" s="17">
        <v>16</v>
      </c>
      <c r="E1434" s="18" t="s">
        <v>3</v>
      </c>
      <c r="F1434" s="39"/>
      <c r="G1434" s="28">
        <f t="shared" si="67"/>
        <v>0</v>
      </c>
    </row>
    <row r="1435" spans="2:10" ht="151.80000000000001" outlineLevel="2" x14ac:dyDescent="0.3">
      <c r="B1435" s="44">
        <v>2.4</v>
      </c>
      <c r="C1435" s="38" t="s">
        <v>1940</v>
      </c>
      <c r="D1435" s="17">
        <v>38</v>
      </c>
      <c r="E1435" s="18" t="s">
        <v>3</v>
      </c>
      <c r="F1435" s="39"/>
      <c r="G1435" s="28">
        <f t="shared" si="67"/>
        <v>0</v>
      </c>
    </row>
    <row r="1436" spans="2:10" ht="96.6" outlineLevel="2" x14ac:dyDescent="0.3">
      <c r="B1436" s="44">
        <v>2.5</v>
      </c>
      <c r="C1436" s="38" t="s">
        <v>1941</v>
      </c>
      <c r="D1436" s="17">
        <v>4</v>
      </c>
      <c r="E1436" s="18" t="s">
        <v>3</v>
      </c>
      <c r="F1436" s="39"/>
      <c r="G1436" s="28">
        <f t="shared" si="67"/>
        <v>0</v>
      </c>
    </row>
    <row r="1437" spans="2:10" ht="55.2" outlineLevel="2" x14ac:dyDescent="0.3">
      <c r="B1437" s="44">
        <v>2.6</v>
      </c>
      <c r="C1437" s="38" t="s">
        <v>1942</v>
      </c>
      <c r="D1437" s="17">
        <v>1</v>
      </c>
      <c r="E1437" s="18" t="s">
        <v>3</v>
      </c>
      <c r="F1437" s="39"/>
      <c r="G1437" s="28">
        <f t="shared" si="67"/>
        <v>0</v>
      </c>
    </row>
    <row r="1438" spans="2:10" ht="55.2" outlineLevel="2" x14ac:dyDescent="0.3">
      <c r="B1438" s="44">
        <v>2.7</v>
      </c>
      <c r="C1438" s="38" t="s">
        <v>1943</v>
      </c>
      <c r="D1438" s="17">
        <v>2</v>
      </c>
      <c r="E1438" s="18" t="s">
        <v>3</v>
      </c>
      <c r="F1438" s="39"/>
      <c r="G1438" s="28">
        <f t="shared" si="67"/>
        <v>0</v>
      </c>
    </row>
    <row r="1439" spans="2:10" ht="69" outlineLevel="2" x14ac:dyDescent="0.3">
      <c r="B1439" s="44">
        <v>2.8</v>
      </c>
      <c r="C1439" s="38" t="s">
        <v>1944</v>
      </c>
      <c r="D1439" s="17">
        <v>2</v>
      </c>
      <c r="E1439" s="18" t="s">
        <v>3</v>
      </c>
      <c r="F1439" s="39"/>
      <c r="G1439" s="28">
        <f t="shared" si="67"/>
        <v>0</v>
      </c>
    </row>
    <row r="1440" spans="2:10" ht="69" outlineLevel="2" x14ac:dyDescent="0.3">
      <c r="B1440" s="44">
        <v>2.9</v>
      </c>
      <c r="C1440" s="38" t="s">
        <v>1945</v>
      </c>
      <c r="D1440" s="17">
        <v>1</v>
      </c>
      <c r="E1440" s="18" t="s">
        <v>3</v>
      </c>
      <c r="F1440" s="39"/>
      <c r="G1440" s="28">
        <f t="shared" si="67"/>
        <v>0</v>
      </c>
    </row>
    <row r="1441" spans="2:7" ht="27.6" outlineLevel="2" x14ac:dyDescent="0.3">
      <c r="B1441" s="44">
        <v>2.1</v>
      </c>
      <c r="C1441" s="38" t="s">
        <v>1946</v>
      </c>
      <c r="D1441" s="17">
        <v>1</v>
      </c>
      <c r="E1441" s="18" t="s">
        <v>3</v>
      </c>
      <c r="F1441" s="39"/>
      <c r="G1441" s="28">
        <f t="shared" si="67"/>
        <v>0</v>
      </c>
    </row>
    <row r="1442" spans="2:7" outlineLevel="2" x14ac:dyDescent="0.3">
      <c r="B1442" s="44"/>
      <c r="C1442" s="38"/>
      <c r="D1442" s="17"/>
      <c r="E1442" s="18"/>
      <c r="F1442" s="39"/>
      <c r="G1442" s="20"/>
    </row>
    <row r="1443" spans="2:7" outlineLevel="1" x14ac:dyDescent="0.3">
      <c r="B1443" s="103">
        <v>4.05</v>
      </c>
      <c r="C1443" s="22" t="s">
        <v>1947</v>
      </c>
      <c r="D1443" s="23"/>
      <c r="E1443" s="24"/>
      <c r="F1443" s="25"/>
      <c r="G1443" s="26">
        <f>+SUBTOTAL(9,G1444:G1491)</f>
        <v>0</v>
      </c>
    </row>
    <row r="1444" spans="2:7" ht="41.4" outlineLevel="2" x14ac:dyDescent="0.3">
      <c r="B1444" s="44">
        <v>1.01</v>
      </c>
      <c r="C1444" s="38" t="s">
        <v>1948</v>
      </c>
      <c r="D1444" s="17">
        <v>3</v>
      </c>
      <c r="E1444" s="18" t="s">
        <v>3</v>
      </c>
      <c r="F1444" s="39"/>
      <c r="G1444" s="28">
        <f t="shared" ref="G1444:G1490" si="68">ROUNDUP(D1444*F1444,2)</f>
        <v>0</v>
      </c>
    </row>
    <row r="1445" spans="2:7" ht="41.4" outlineLevel="2" x14ac:dyDescent="0.3">
      <c r="B1445" s="44">
        <v>1.02</v>
      </c>
      <c r="C1445" s="38" t="s">
        <v>1949</v>
      </c>
      <c r="D1445" s="17">
        <v>5</v>
      </c>
      <c r="E1445" s="18" t="s">
        <v>3</v>
      </c>
      <c r="F1445" s="39"/>
      <c r="G1445" s="28">
        <f t="shared" si="68"/>
        <v>0</v>
      </c>
    </row>
    <row r="1446" spans="2:7" ht="27.6" outlineLevel="2" x14ac:dyDescent="0.3">
      <c r="B1446" s="44">
        <v>1.03</v>
      </c>
      <c r="C1446" s="38" t="s">
        <v>1950</v>
      </c>
      <c r="D1446" s="17">
        <v>1</v>
      </c>
      <c r="E1446" s="18" t="s">
        <v>3</v>
      </c>
      <c r="F1446" s="39"/>
      <c r="G1446" s="28">
        <f t="shared" si="68"/>
        <v>0</v>
      </c>
    </row>
    <row r="1447" spans="2:7" ht="27.6" outlineLevel="2" x14ac:dyDescent="0.3">
      <c r="B1447" s="44">
        <v>1.04</v>
      </c>
      <c r="C1447" s="38" t="s">
        <v>1951</v>
      </c>
      <c r="D1447" s="17">
        <v>1</v>
      </c>
      <c r="E1447" s="18" t="s">
        <v>3</v>
      </c>
      <c r="F1447" s="39"/>
      <c r="G1447" s="28">
        <f t="shared" si="68"/>
        <v>0</v>
      </c>
    </row>
    <row r="1448" spans="2:7" ht="27.6" outlineLevel="2" x14ac:dyDescent="0.3">
      <c r="B1448" s="44">
        <v>1.05</v>
      </c>
      <c r="C1448" s="38" t="s">
        <v>1952</v>
      </c>
      <c r="D1448" s="17">
        <v>1</v>
      </c>
      <c r="E1448" s="18" t="s">
        <v>3</v>
      </c>
      <c r="F1448" s="39"/>
      <c r="G1448" s="28">
        <f t="shared" si="68"/>
        <v>0</v>
      </c>
    </row>
    <row r="1449" spans="2:7" ht="27.6" outlineLevel="2" x14ac:dyDescent="0.3">
      <c r="B1449" s="44">
        <v>1.06</v>
      </c>
      <c r="C1449" s="38" t="s">
        <v>1953</v>
      </c>
      <c r="D1449" s="17">
        <v>1</v>
      </c>
      <c r="E1449" s="18" t="s">
        <v>3</v>
      </c>
      <c r="F1449" s="39"/>
      <c r="G1449" s="28">
        <f t="shared" si="68"/>
        <v>0</v>
      </c>
    </row>
    <row r="1450" spans="2:7" outlineLevel="2" x14ac:dyDescent="0.3">
      <c r="B1450" s="44">
        <v>1.07</v>
      </c>
      <c r="C1450" s="38" t="s">
        <v>1954</v>
      </c>
      <c r="D1450" s="17">
        <v>1</v>
      </c>
      <c r="E1450" s="18" t="s">
        <v>3</v>
      </c>
      <c r="F1450" s="39"/>
      <c r="G1450" s="28">
        <f t="shared" si="68"/>
        <v>0</v>
      </c>
    </row>
    <row r="1451" spans="2:7" ht="41.4" outlineLevel="2" x14ac:dyDescent="0.3">
      <c r="B1451" s="44">
        <v>2.0099999999999998</v>
      </c>
      <c r="C1451" s="38" t="s">
        <v>1955</v>
      </c>
      <c r="D1451" s="17">
        <v>8</v>
      </c>
      <c r="E1451" s="18" t="s">
        <v>3</v>
      </c>
      <c r="F1451" s="39"/>
      <c r="G1451" s="28">
        <f t="shared" si="68"/>
        <v>0</v>
      </c>
    </row>
    <row r="1452" spans="2:7" ht="41.4" outlineLevel="2" x14ac:dyDescent="0.3">
      <c r="B1452" s="44">
        <v>2.02</v>
      </c>
      <c r="C1452" s="38" t="s">
        <v>1956</v>
      </c>
      <c r="D1452" s="17">
        <v>1</v>
      </c>
      <c r="E1452" s="18" t="s">
        <v>3</v>
      </c>
      <c r="F1452" s="39"/>
      <c r="G1452" s="28">
        <f t="shared" si="68"/>
        <v>0</v>
      </c>
    </row>
    <row r="1453" spans="2:7" outlineLevel="2" x14ac:dyDescent="0.3">
      <c r="B1453" s="44">
        <v>2.0299999999999998</v>
      </c>
      <c r="C1453" s="38" t="s">
        <v>1957</v>
      </c>
      <c r="D1453" s="17">
        <v>1</v>
      </c>
      <c r="E1453" s="18" t="s">
        <v>3</v>
      </c>
      <c r="F1453" s="39"/>
      <c r="G1453" s="28">
        <f t="shared" si="68"/>
        <v>0</v>
      </c>
    </row>
    <row r="1454" spans="2:7" ht="27.6" outlineLevel="2" x14ac:dyDescent="0.3">
      <c r="B1454" s="44">
        <v>3.01</v>
      </c>
      <c r="C1454" s="38" t="s">
        <v>1958</v>
      </c>
      <c r="D1454" s="17">
        <v>1</v>
      </c>
      <c r="E1454" s="18" t="s">
        <v>3</v>
      </c>
      <c r="F1454" s="39"/>
      <c r="G1454" s="28">
        <f t="shared" si="68"/>
        <v>0</v>
      </c>
    </row>
    <row r="1455" spans="2:7" ht="41.4" outlineLevel="2" x14ac:dyDescent="0.3">
      <c r="B1455" s="44">
        <v>3.02</v>
      </c>
      <c r="C1455" s="38" t="s">
        <v>1959</v>
      </c>
      <c r="D1455" s="17">
        <v>53</v>
      </c>
      <c r="E1455" s="18" t="s">
        <v>3</v>
      </c>
      <c r="F1455" s="39"/>
      <c r="G1455" s="28">
        <f t="shared" si="68"/>
        <v>0</v>
      </c>
    </row>
    <row r="1456" spans="2:7" outlineLevel="2" x14ac:dyDescent="0.3">
      <c r="B1456" s="44">
        <v>3.03</v>
      </c>
      <c r="C1456" s="38" t="s">
        <v>1960</v>
      </c>
      <c r="D1456" s="17">
        <v>10</v>
      </c>
      <c r="E1456" s="18" t="s">
        <v>3</v>
      </c>
      <c r="F1456" s="39"/>
      <c r="G1456" s="28">
        <f t="shared" si="68"/>
        <v>0</v>
      </c>
    </row>
    <row r="1457" spans="2:7" outlineLevel="2" x14ac:dyDescent="0.3">
      <c r="B1457" s="44">
        <v>3.04</v>
      </c>
      <c r="C1457" s="38" t="s">
        <v>1961</v>
      </c>
      <c r="D1457" s="17">
        <v>8</v>
      </c>
      <c r="E1457" s="18" t="s">
        <v>3</v>
      </c>
      <c r="F1457" s="39"/>
      <c r="G1457" s="28">
        <f t="shared" si="68"/>
        <v>0</v>
      </c>
    </row>
    <row r="1458" spans="2:7" outlineLevel="2" x14ac:dyDescent="0.3">
      <c r="B1458" s="44">
        <v>3.05</v>
      </c>
      <c r="C1458" s="38" t="s">
        <v>1962</v>
      </c>
      <c r="D1458" s="17">
        <v>8</v>
      </c>
      <c r="E1458" s="18" t="s">
        <v>3</v>
      </c>
      <c r="F1458" s="39"/>
      <c r="G1458" s="28">
        <f t="shared" si="68"/>
        <v>0</v>
      </c>
    </row>
    <row r="1459" spans="2:7" outlineLevel="2" x14ac:dyDescent="0.3">
      <c r="B1459" s="44">
        <v>3.06</v>
      </c>
      <c r="C1459" s="38" t="s">
        <v>1963</v>
      </c>
      <c r="D1459" s="17">
        <v>1</v>
      </c>
      <c r="E1459" s="18" t="s">
        <v>3</v>
      </c>
      <c r="F1459" s="39"/>
      <c r="G1459" s="28">
        <f t="shared" si="68"/>
        <v>0</v>
      </c>
    </row>
    <row r="1460" spans="2:7" outlineLevel="2" x14ac:dyDescent="0.3">
      <c r="B1460" s="44">
        <v>3.07</v>
      </c>
      <c r="C1460" s="38" t="s">
        <v>1964</v>
      </c>
      <c r="D1460" s="17">
        <v>2</v>
      </c>
      <c r="E1460" s="18" t="s">
        <v>3</v>
      </c>
      <c r="F1460" s="39"/>
      <c r="G1460" s="28">
        <f t="shared" si="68"/>
        <v>0</v>
      </c>
    </row>
    <row r="1461" spans="2:7" outlineLevel="2" x14ac:dyDescent="0.3">
      <c r="B1461" s="44">
        <v>3.08</v>
      </c>
      <c r="C1461" s="38" t="s">
        <v>1965</v>
      </c>
      <c r="D1461" s="17">
        <v>5</v>
      </c>
      <c r="E1461" s="18" t="s">
        <v>3</v>
      </c>
      <c r="F1461" s="39"/>
      <c r="G1461" s="28">
        <f t="shared" si="68"/>
        <v>0</v>
      </c>
    </row>
    <row r="1462" spans="2:7" outlineLevel="2" x14ac:dyDescent="0.3">
      <c r="B1462" s="44">
        <v>3.09</v>
      </c>
      <c r="C1462" s="38" t="s">
        <v>1966</v>
      </c>
      <c r="D1462" s="17">
        <v>3</v>
      </c>
      <c r="E1462" s="18" t="s">
        <v>3</v>
      </c>
      <c r="F1462" s="39"/>
      <c r="G1462" s="28">
        <f t="shared" si="68"/>
        <v>0</v>
      </c>
    </row>
    <row r="1463" spans="2:7" outlineLevel="2" x14ac:dyDescent="0.3">
      <c r="B1463" s="44">
        <v>3.1</v>
      </c>
      <c r="C1463" s="38" t="s">
        <v>1957</v>
      </c>
      <c r="D1463" s="17">
        <v>1</v>
      </c>
      <c r="E1463" s="18" t="s">
        <v>3</v>
      </c>
      <c r="F1463" s="39"/>
      <c r="G1463" s="28">
        <f t="shared" si="68"/>
        <v>0</v>
      </c>
    </row>
    <row r="1464" spans="2:7" ht="27.6" outlineLevel="2" x14ac:dyDescent="0.3">
      <c r="B1464" s="44">
        <v>4.01</v>
      </c>
      <c r="C1464" s="38" t="s">
        <v>1967</v>
      </c>
      <c r="D1464" s="17">
        <v>1</v>
      </c>
      <c r="E1464" s="18" t="s">
        <v>3</v>
      </c>
      <c r="F1464" s="39"/>
      <c r="G1464" s="28">
        <f t="shared" si="68"/>
        <v>0</v>
      </c>
    </row>
    <row r="1465" spans="2:7" outlineLevel="2" x14ac:dyDescent="0.3">
      <c r="B1465" s="44">
        <v>4.0199999999999996</v>
      </c>
      <c r="C1465" s="38" t="s">
        <v>1968</v>
      </c>
      <c r="D1465" s="17">
        <v>48</v>
      </c>
      <c r="E1465" s="18" t="s">
        <v>3</v>
      </c>
      <c r="F1465" s="39"/>
      <c r="G1465" s="28">
        <f t="shared" si="68"/>
        <v>0</v>
      </c>
    </row>
    <row r="1466" spans="2:7" outlineLevel="2" x14ac:dyDescent="0.3">
      <c r="B1466" s="44">
        <v>4.03</v>
      </c>
      <c r="C1466" s="38" t="s">
        <v>1969</v>
      </c>
      <c r="D1466" s="17">
        <v>58</v>
      </c>
      <c r="E1466" s="18" t="s">
        <v>3</v>
      </c>
      <c r="F1466" s="39"/>
      <c r="G1466" s="28">
        <f t="shared" si="68"/>
        <v>0</v>
      </c>
    </row>
    <row r="1467" spans="2:7" outlineLevel="2" x14ac:dyDescent="0.3">
      <c r="B1467" s="44">
        <v>4.04</v>
      </c>
      <c r="C1467" s="38" t="s">
        <v>1968</v>
      </c>
      <c r="D1467" s="17">
        <v>1</v>
      </c>
      <c r="E1467" s="18" t="s">
        <v>3</v>
      </c>
      <c r="F1467" s="39"/>
      <c r="G1467" s="28">
        <f t="shared" si="68"/>
        <v>0</v>
      </c>
    </row>
    <row r="1468" spans="2:7" outlineLevel="2" x14ac:dyDescent="0.3">
      <c r="B1468" s="44">
        <v>4.05</v>
      </c>
      <c r="C1468" s="38" t="s">
        <v>1969</v>
      </c>
      <c r="D1468" s="17">
        <v>1</v>
      </c>
      <c r="E1468" s="18" t="s">
        <v>3</v>
      </c>
      <c r="F1468" s="39"/>
      <c r="G1468" s="28">
        <f t="shared" si="68"/>
        <v>0</v>
      </c>
    </row>
    <row r="1469" spans="2:7" outlineLevel="2" x14ac:dyDescent="0.3">
      <c r="B1469" s="44">
        <v>4.0599999999999996</v>
      </c>
      <c r="C1469" s="38" t="s">
        <v>1968</v>
      </c>
      <c r="D1469" s="17">
        <v>5</v>
      </c>
      <c r="E1469" s="18" t="s">
        <v>3</v>
      </c>
      <c r="F1469" s="39"/>
      <c r="G1469" s="28">
        <f t="shared" si="68"/>
        <v>0</v>
      </c>
    </row>
    <row r="1470" spans="2:7" ht="27.6" outlineLevel="2" x14ac:dyDescent="0.3">
      <c r="B1470" s="44">
        <v>4.07</v>
      </c>
      <c r="C1470" s="38" t="s">
        <v>1970</v>
      </c>
      <c r="D1470" s="17">
        <v>1</v>
      </c>
      <c r="E1470" s="18" t="s">
        <v>3</v>
      </c>
      <c r="F1470" s="39"/>
      <c r="G1470" s="28">
        <f t="shared" si="68"/>
        <v>0</v>
      </c>
    </row>
    <row r="1471" spans="2:7" ht="27.6" outlineLevel="2" x14ac:dyDescent="0.3">
      <c r="B1471" s="44">
        <v>4.08</v>
      </c>
      <c r="C1471" s="38" t="s">
        <v>1971</v>
      </c>
      <c r="D1471" s="17">
        <v>1</v>
      </c>
      <c r="E1471" s="18" t="s">
        <v>3</v>
      </c>
      <c r="F1471" s="39"/>
      <c r="G1471" s="28">
        <f t="shared" si="68"/>
        <v>0</v>
      </c>
    </row>
    <row r="1472" spans="2:7" ht="41.4" outlineLevel="2" x14ac:dyDescent="0.3">
      <c r="B1472" s="44">
        <v>4.09</v>
      </c>
      <c r="C1472" s="38" t="s">
        <v>1972</v>
      </c>
      <c r="D1472" s="17">
        <v>1</v>
      </c>
      <c r="E1472" s="18" t="s">
        <v>3</v>
      </c>
      <c r="F1472" s="39"/>
      <c r="G1472" s="28">
        <f t="shared" si="68"/>
        <v>0</v>
      </c>
    </row>
    <row r="1473" spans="2:7" ht="41.4" outlineLevel="2" x14ac:dyDescent="0.3">
      <c r="B1473" s="44">
        <v>4.0999999999999996</v>
      </c>
      <c r="C1473" s="38" t="s">
        <v>1973</v>
      </c>
      <c r="D1473" s="17">
        <v>1</v>
      </c>
      <c r="E1473" s="18" t="s">
        <v>3</v>
      </c>
      <c r="F1473" s="39"/>
      <c r="G1473" s="28">
        <f t="shared" si="68"/>
        <v>0</v>
      </c>
    </row>
    <row r="1474" spans="2:7" outlineLevel="2" x14ac:dyDescent="0.3">
      <c r="B1474" s="44">
        <v>4.1100000000000003</v>
      </c>
      <c r="C1474" s="38" t="s">
        <v>1974</v>
      </c>
      <c r="D1474" s="17">
        <v>1</v>
      </c>
      <c r="E1474" s="18" t="s">
        <v>3</v>
      </c>
      <c r="F1474" s="39"/>
      <c r="G1474" s="28">
        <f t="shared" si="68"/>
        <v>0</v>
      </c>
    </row>
    <row r="1475" spans="2:7" outlineLevel="2" x14ac:dyDescent="0.3">
      <c r="B1475" s="44">
        <v>1.01</v>
      </c>
      <c r="C1475" s="38" t="s">
        <v>1976</v>
      </c>
      <c r="D1475" s="17">
        <v>7</v>
      </c>
      <c r="E1475" s="18" t="s">
        <v>3</v>
      </c>
      <c r="F1475" s="39"/>
      <c r="G1475" s="28">
        <f t="shared" si="68"/>
        <v>0</v>
      </c>
    </row>
    <row r="1476" spans="2:7" outlineLevel="2" x14ac:dyDescent="0.3">
      <c r="B1476" s="44">
        <v>1.02</v>
      </c>
      <c r="C1476" s="38" t="s">
        <v>1975</v>
      </c>
      <c r="D1476" s="17">
        <v>7</v>
      </c>
      <c r="E1476" s="18" t="s">
        <v>3</v>
      </c>
      <c r="F1476" s="39"/>
      <c r="G1476" s="28">
        <f t="shared" si="68"/>
        <v>0</v>
      </c>
    </row>
    <row r="1477" spans="2:7" outlineLevel="2" x14ac:dyDescent="0.3">
      <c r="B1477" s="44">
        <v>2.0099999999999998</v>
      </c>
      <c r="C1477" s="38" t="s">
        <v>1977</v>
      </c>
      <c r="D1477" s="17">
        <v>160</v>
      </c>
      <c r="E1477" s="18" t="s">
        <v>3</v>
      </c>
      <c r="F1477" s="39"/>
      <c r="G1477" s="28">
        <f t="shared" si="68"/>
        <v>0</v>
      </c>
    </row>
    <row r="1478" spans="2:7" outlineLevel="2" x14ac:dyDescent="0.3">
      <c r="B1478" s="44">
        <v>2.02</v>
      </c>
      <c r="C1478" s="38" t="s">
        <v>1978</v>
      </c>
      <c r="D1478" s="17">
        <v>4</v>
      </c>
      <c r="E1478" s="18" t="s">
        <v>3</v>
      </c>
      <c r="F1478" s="39"/>
      <c r="G1478" s="28">
        <f t="shared" si="68"/>
        <v>0</v>
      </c>
    </row>
    <row r="1479" spans="2:7" outlineLevel="2" x14ac:dyDescent="0.3">
      <c r="B1479" s="44">
        <v>2.0299999999999998</v>
      </c>
      <c r="C1479" s="38" t="s">
        <v>1979</v>
      </c>
      <c r="D1479" s="17">
        <v>12</v>
      </c>
      <c r="E1479" s="18" t="s">
        <v>3</v>
      </c>
      <c r="F1479" s="39"/>
      <c r="G1479" s="28">
        <f t="shared" si="68"/>
        <v>0</v>
      </c>
    </row>
    <row r="1480" spans="2:7" outlineLevel="2" x14ac:dyDescent="0.3">
      <c r="B1480" s="44">
        <v>2.04</v>
      </c>
      <c r="C1480" s="38" t="s">
        <v>1980</v>
      </c>
      <c r="D1480" s="17">
        <v>15</v>
      </c>
      <c r="E1480" s="18" t="s">
        <v>3</v>
      </c>
      <c r="F1480" s="39"/>
      <c r="G1480" s="28">
        <f t="shared" si="68"/>
        <v>0</v>
      </c>
    </row>
    <row r="1481" spans="2:7" outlineLevel="2" x14ac:dyDescent="0.3">
      <c r="B1481" s="44">
        <v>2.0499999999999998</v>
      </c>
      <c r="C1481" s="38" t="s">
        <v>1981</v>
      </c>
      <c r="D1481" s="17">
        <v>6</v>
      </c>
      <c r="E1481" s="18" t="s">
        <v>3</v>
      </c>
      <c r="F1481" s="39"/>
      <c r="G1481" s="28">
        <f t="shared" si="68"/>
        <v>0</v>
      </c>
    </row>
    <row r="1482" spans="2:7" outlineLevel="2" x14ac:dyDescent="0.3">
      <c r="B1482" s="44">
        <v>2.06</v>
      </c>
      <c r="C1482" s="38" t="s">
        <v>1982</v>
      </c>
      <c r="D1482" s="17">
        <v>7</v>
      </c>
      <c r="E1482" s="18" t="s">
        <v>3</v>
      </c>
      <c r="F1482" s="39"/>
      <c r="G1482" s="28">
        <f t="shared" si="68"/>
        <v>0</v>
      </c>
    </row>
    <row r="1483" spans="2:7" outlineLevel="2" x14ac:dyDescent="0.3">
      <c r="B1483" s="44">
        <v>2.0699999999999998</v>
      </c>
      <c r="C1483" s="38" t="s">
        <v>1983</v>
      </c>
      <c r="D1483" s="17">
        <v>7</v>
      </c>
      <c r="E1483" s="18" t="s">
        <v>3</v>
      </c>
      <c r="F1483" s="39"/>
      <c r="G1483" s="28">
        <f t="shared" si="68"/>
        <v>0</v>
      </c>
    </row>
    <row r="1484" spans="2:7" outlineLevel="2" x14ac:dyDescent="0.3">
      <c r="B1484" s="44">
        <v>2.08</v>
      </c>
      <c r="C1484" s="38" t="s">
        <v>1984</v>
      </c>
      <c r="D1484" s="17">
        <v>160</v>
      </c>
      <c r="E1484" s="18" t="s">
        <v>3</v>
      </c>
      <c r="F1484" s="39"/>
      <c r="G1484" s="28">
        <f t="shared" si="68"/>
        <v>0</v>
      </c>
    </row>
    <row r="1485" spans="2:7" outlineLevel="2" x14ac:dyDescent="0.3">
      <c r="B1485" s="44">
        <v>2.09</v>
      </c>
      <c r="C1485" s="38" t="s">
        <v>1985</v>
      </c>
      <c r="D1485" s="17">
        <v>1</v>
      </c>
      <c r="E1485" s="18" t="s">
        <v>3</v>
      </c>
      <c r="F1485" s="39"/>
      <c r="G1485" s="28">
        <f t="shared" si="68"/>
        <v>0</v>
      </c>
    </row>
    <row r="1486" spans="2:7" outlineLevel="2" x14ac:dyDescent="0.3">
      <c r="B1486" s="44">
        <v>3.1</v>
      </c>
      <c r="C1486" s="38" t="s">
        <v>1825</v>
      </c>
      <c r="D1486" s="17">
        <v>1</v>
      </c>
      <c r="E1486" s="18" t="s">
        <v>3</v>
      </c>
      <c r="F1486" s="39"/>
      <c r="G1486" s="28">
        <f t="shared" si="68"/>
        <v>0</v>
      </c>
    </row>
    <row r="1487" spans="2:7" outlineLevel="2" x14ac:dyDescent="0.3">
      <c r="B1487" s="44">
        <v>3.01</v>
      </c>
      <c r="C1487" s="38" t="s">
        <v>1986</v>
      </c>
      <c r="D1487" s="17">
        <v>7</v>
      </c>
      <c r="E1487" s="18" t="s">
        <v>3</v>
      </c>
      <c r="F1487" s="39"/>
      <c r="G1487" s="28">
        <f t="shared" si="68"/>
        <v>0</v>
      </c>
    </row>
    <row r="1488" spans="2:7" outlineLevel="2" x14ac:dyDescent="0.3">
      <c r="B1488" s="44">
        <v>3.02</v>
      </c>
      <c r="C1488" s="38" t="s">
        <v>1827</v>
      </c>
      <c r="D1488" s="17">
        <v>14</v>
      </c>
      <c r="E1488" s="18" t="s">
        <v>3</v>
      </c>
      <c r="F1488" s="39"/>
      <c r="G1488" s="28">
        <f t="shared" si="68"/>
        <v>0</v>
      </c>
    </row>
    <row r="1489" spans="2:8" outlineLevel="2" x14ac:dyDescent="0.3">
      <c r="B1489" s="44">
        <v>3.03</v>
      </c>
      <c r="C1489" s="38" t="s">
        <v>1825</v>
      </c>
      <c r="D1489" s="17">
        <v>14</v>
      </c>
      <c r="E1489" s="18" t="s">
        <v>3</v>
      </c>
      <c r="F1489" s="39"/>
      <c r="G1489" s="28">
        <f t="shared" si="68"/>
        <v>0</v>
      </c>
    </row>
    <row r="1490" spans="2:8" outlineLevel="2" x14ac:dyDescent="0.3">
      <c r="B1490" s="44">
        <v>4.01</v>
      </c>
      <c r="C1490" s="38" t="s">
        <v>1987</v>
      </c>
      <c r="D1490" s="17">
        <v>14</v>
      </c>
      <c r="E1490" s="18" t="s">
        <v>3</v>
      </c>
      <c r="F1490" s="39"/>
      <c r="G1490" s="28">
        <f t="shared" si="68"/>
        <v>0</v>
      </c>
    </row>
    <row r="1491" spans="2:8" outlineLevel="2" x14ac:dyDescent="0.3">
      <c r="B1491" s="44"/>
      <c r="C1491" s="38"/>
      <c r="D1491" s="17"/>
      <c r="E1491" s="18"/>
      <c r="F1491" s="39"/>
      <c r="G1491" s="20"/>
    </row>
    <row r="1492" spans="2:8" outlineLevel="1" x14ac:dyDescent="0.3">
      <c r="B1492" s="103">
        <v>4.0599999999999996</v>
      </c>
      <c r="C1492" s="22" t="s">
        <v>1988</v>
      </c>
      <c r="D1492" s="23"/>
      <c r="E1492" s="24"/>
      <c r="F1492" s="25"/>
      <c r="G1492" s="26">
        <f>+SUBTOTAL(9,G1493:G1495)</f>
        <v>0</v>
      </c>
    </row>
    <row r="1493" spans="2:8" ht="138" outlineLevel="2" x14ac:dyDescent="0.3">
      <c r="B1493" s="44">
        <v>1.1000000000000001</v>
      </c>
      <c r="C1493" s="38" t="s">
        <v>1989</v>
      </c>
      <c r="D1493" s="17">
        <v>1537</v>
      </c>
      <c r="E1493" s="18" t="s">
        <v>10</v>
      </c>
      <c r="F1493" s="39"/>
      <c r="G1493" s="28">
        <f t="shared" ref="G1493:G1494" si="69">ROUNDUP(D1493*F1493,2)</f>
        <v>0</v>
      </c>
    </row>
    <row r="1494" spans="2:8" ht="27.6" outlineLevel="2" x14ac:dyDescent="0.3">
      <c r="B1494" s="44">
        <v>1.2</v>
      </c>
      <c r="C1494" s="38" t="s">
        <v>1990</v>
      </c>
      <c r="D1494" s="17">
        <v>1537</v>
      </c>
      <c r="E1494" s="18" t="s">
        <v>2286</v>
      </c>
      <c r="F1494" s="39"/>
      <c r="G1494" s="28">
        <f t="shared" si="69"/>
        <v>0</v>
      </c>
      <c r="H1494" s="122"/>
    </row>
    <row r="1495" spans="2:8" outlineLevel="2" x14ac:dyDescent="0.3">
      <c r="B1495" s="44"/>
      <c r="C1495" s="38"/>
      <c r="D1495" s="17"/>
      <c r="E1495" s="18"/>
      <c r="F1495" s="39"/>
      <c r="G1495" s="20"/>
    </row>
    <row r="1496" spans="2:8" outlineLevel="1" x14ac:dyDescent="0.3">
      <c r="B1496" s="103">
        <v>4.07</v>
      </c>
      <c r="C1496" s="22" t="s">
        <v>1991</v>
      </c>
      <c r="D1496" s="23"/>
      <c r="E1496" s="24"/>
      <c r="F1496" s="25"/>
      <c r="G1496" s="26">
        <f>+SUBTOTAL(9,G1497:G1500)</f>
        <v>0</v>
      </c>
    </row>
    <row r="1497" spans="2:8" ht="27.6" outlineLevel="2" x14ac:dyDescent="0.3">
      <c r="B1497" s="44"/>
      <c r="C1497" s="38" t="s">
        <v>1992</v>
      </c>
      <c r="D1497" s="17">
        <v>2</v>
      </c>
      <c r="E1497" s="18" t="s">
        <v>3</v>
      </c>
      <c r="F1497" s="39"/>
      <c r="G1497" s="28">
        <f t="shared" ref="G1497:G1499" si="70">ROUNDUP(D1497*F1497,2)</f>
        <v>0</v>
      </c>
    </row>
    <row r="1498" spans="2:8" ht="41.4" outlineLevel="2" x14ac:dyDescent="0.3">
      <c r="B1498" s="44"/>
      <c r="C1498" s="38" t="s">
        <v>1993</v>
      </c>
      <c r="D1498" s="17">
        <v>1</v>
      </c>
      <c r="E1498" s="18" t="s">
        <v>3</v>
      </c>
      <c r="F1498" s="39"/>
      <c r="G1498" s="28">
        <f t="shared" si="70"/>
        <v>0</v>
      </c>
    </row>
    <row r="1499" spans="2:8" ht="27.6" outlineLevel="2" x14ac:dyDescent="0.3">
      <c r="B1499" s="44"/>
      <c r="C1499" s="38" t="s">
        <v>1994</v>
      </c>
      <c r="D1499" s="17">
        <v>1</v>
      </c>
      <c r="E1499" s="18" t="s">
        <v>3</v>
      </c>
      <c r="F1499" s="39"/>
      <c r="G1499" s="28">
        <f t="shared" si="70"/>
        <v>0</v>
      </c>
    </row>
    <row r="1500" spans="2:8" outlineLevel="2" x14ac:dyDescent="0.3">
      <c r="B1500" s="44"/>
      <c r="C1500" s="38"/>
      <c r="D1500" s="17"/>
      <c r="E1500" s="18"/>
      <c r="F1500" s="39"/>
      <c r="G1500" s="20"/>
    </row>
    <row r="1501" spans="2:8" outlineLevel="1" x14ac:dyDescent="0.3">
      <c r="B1501" s="103">
        <v>4.08</v>
      </c>
      <c r="C1501" s="22" t="s">
        <v>1995</v>
      </c>
      <c r="D1501" s="23"/>
      <c r="E1501" s="24"/>
      <c r="F1501" s="25"/>
      <c r="G1501" s="26">
        <f>+SUBTOTAL(9,G1502:G1525)</f>
        <v>0</v>
      </c>
    </row>
    <row r="1502" spans="2:8" outlineLevel="2" x14ac:dyDescent="0.3">
      <c r="B1502" s="44">
        <v>1.2</v>
      </c>
      <c r="C1502" s="38" t="s">
        <v>1996</v>
      </c>
      <c r="D1502" s="17">
        <v>1</v>
      </c>
      <c r="E1502" s="18" t="s">
        <v>3</v>
      </c>
      <c r="F1502" s="39"/>
      <c r="G1502" s="28">
        <f t="shared" ref="G1502:G1524" si="71">ROUNDUP(D1502*F1502,2)</f>
        <v>0</v>
      </c>
    </row>
    <row r="1503" spans="2:8" outlineLevel="2" x14ac:dyDescent="0.3">
      <c r="B1503" s="44">
        <v>1.3</v>
      </c>
      <c r="C1503" s="38" t="s">
        <v>1997</v>
      </c>
      <c r="D1503" s="17">
        <v>1</v>
      </c>
      <c r="E1503" s="18" t="s">
        <v>3</v>
      </c>
      <c r="F1503" s="39"/>
      <c r="G1503" s="28">
        <f t="shared" si="71"/>
        <v>0</v>
      </c>
    </row>
    <row r="1504" spans="2:8" outlineLevel="2" x14ac:dyDescent="0.3">
      <c r="B1504" s="44">
        <v>1.4</v>
      </c>
      <c r="C1504" s="38" t="s">
        <v>1998</v>
      </c>
      <c r="D1504" s="17">
        <v>1</v>
      </c>
      <c r="E1504" s="18" t="s">
        <v>3</v>
      </c>
      <c r="F1504" s="39"/>
      <c r="G1504" s="28">
        <f t="shared" si="71"/>
        <v>0</v>
      </c>
    </row>
    <row r="1505" spans="2:8" ht="27.6" outlineLevel="2" x14ac:dyDescent="0.3">
      <c r="B1505" s="44">
        <v>1.5</v>
      </c>
      <c r="C1505" s="38" t="s">
        <v>1999</v>
      </c>
      <c r="D1505" s="17">
        <v>46</v>
      </c>
      <c r="E1505" s="18" t="s">
        <v>3</v>
      </c>
      <c r="F1505" s="39"/>
      <c r="G1505" s="28">
        <f t="shared" si="71"/>
        <v>0</v>
      </c>
      <c r="H1505" s="122"/>
    </row>
    <row r="1506" spans="2:8" ht="27.6" outlineLevel="2" x14ac:dyDescent="0.3">
      <c r="B1506" s="44">
        <v>1.6</v>
      </c>
      <c r="C1506" s="38" t="s">
        <v>2000</v>
      </c>
      <c r="D1506" s="17">
        <v>52</v>
      </c>
      <c r="E1506" s="18" t="s">
        <v>3</v>
      </c>
      <c r="F1506" s="39"/>
      <c r="G1506" s="28">
        <f t="shared" si="71"/>
        <v>0</v>
      </c>
      <c r="H1506" s="122"/>
    </row>
    <row r="1507" spans="2:8" ht="27.6" outlineLevel="2" x14ac:dyDescent="0.3">
      <c r="B1507" s="44">
        <v>1.7</v>
      </c>
      <c r="C1507" s="38" t="s">
        <v>2001</v>
      </c>
      <c r="D1507" s="17">
        <v>45</v>
      </c>
      <c r="E1507" s="18" t="s">
        <v>3</v>
      </c>
      <c r="F1507" s="39"/>
      <c r="G1507" s="28">
        <f t="shared" si="71"/>
        <v>0</v>
      </c>
      <c r="H1507" s="122"/>
    </row>
    <row r="1508" spans="2:8" outlineLevel="2" x14ac:dyDescent="0.3">
      <c r="B1508" s="44">
        <v>1.8</v>
      </c>
      <c r="C1508" s="38" t="s">
        <v>2002</v>
      </c>
      <c r="D1508" s="17">
        <v>10</v>
      </c>
      <c r="E1508" s="18" t="s">
        <v>3</v>
      </c>
      <c r="F1508" s="39"/>
      <c r="G1508" s="28">
        <f t="shared" si="71"/>
        <v>0</v>
      </c>
      <c r="H1508" s="122"/>
    </row>
    <row r="1509" spans="2:8" ht="27.6" outlineLevel="2" x14ac:dyDescent="0.3">
      <c r="B1509" s="44">
        <v>1.9</v>
      </c>
      <c r="C1509" s="38" t="s">
        <v>2003</v>
      </c>
      <c r="D1509" s="17">
        <v>200</v>
      </c>
      <c r="E1509" s="18" t="s">
        <v>3</v>
      </c>
      <c r="F1509" s="39"/>
      <c r="G1509" s="28">
        <f t="shared" si="71"/>
        <v>0</v>
      </c>
      <c r="H1509" s="122"/>
    </row>
    <row r="1510" spans="2:8" outlineLevel="2" x14ac:dyDescent="0.3">
      <c r="B1510" s="44">
        <v>2.1</v>
      </c>
      <c r="C1510" s="38" t="s">
        <v>2004</v>
      </c>
      <c r="D1510" s="17">
        <v>20</v>
      </c>
      <c r="E1510" s="18" t="s">
        <v>3</v>
      </c>
      <c r="F1510" s="39"/>
      <c r="G1510" s="28">
        <f t="shared" si="71"/>
        <v>0</v>
      </c>
    </row>
    <row r="1511" spans="2:8" outlineLevel="2" x14ac:dyDescent="0.3">
      <c r="B1511" s="44">
        <v>2.2000000000000002</v>
      </c>
      <c r="C1511" s="38" t="s">
        <v>2005</v>
      </c>
      <c r="D1511" s="17">
        <v>77</v>
      </c>
      <c r="E1511" s="18" t="s">
        <v>3</v>
      </c>
      <c r="F1511" s="39"/>
      <c r="G1511" s="28">
        <f t="shared" si="71"/>
        <v>0</v>
      </c>
    </row>
    <row r="1512" spans="2:8" outlineLevel="2" x14ac:dyDescent="0.3">
      <c r="B1512" s="44">
        <v>2.2999999999999998</v>
      </c>
      <c r="C1512" s="38" t="s">
        <v>2006</v>
      </c>
      <c r="D1512" s="17">
        <v>4</v>
      </c>
      <c r="E1512" s="18" t="s">
        <v>3</v>
      </c>
      <c r="F1512" s="39"/>
      <c r="G1512" s="28">
        <f t="shared" si="71"/>
        <v>0</v>
      </c>
    </row>
    <row r="1513" spans="2:8" outlineLevel="2" x14ac:dyDescent="0.3">
      <c r="B1513" s="44">
        <v>2.4</v>
      </c>
      <c r="C1513" s="38" t="s">
        <v>2007</v>
      </c>
      <c r="D1513" s="17">
        <v>30</v>
      </c>
      <c r="E1513" s="18" t="s">
        <v>3</v>
      </c>
      <c r="F1513" s="39"/>
      <c r="G1513" s="28">
        <f t="shared" si="71"/>
        <v>0</v>
      </c>
    </row>
    <row r="1514" spans="2:8" outlineLevel="2" x14ac:dyDescent="0.3">
      <c r="B1514" s="44">
        <v>2.5</v>
      </c>
      <c r="C1514" s="38" t="s">
        <v>2008</v>
      </c>
      <c r="D1514" s="17">
        <v>30</v>
      </c>
      <c r="E1514" s="18" t="s">
        <v>3</v>
      </c>
      <c r="F1514" s="39"/>
      <c r="G1514" s="28">
        <f t="shared" si="71"/>
        <v>0</v>
      </c>
    </row>
    <row r="1515" spans="2:8" outlineLevel="2" x14ac:dyDescent="0.3">
      <c r="B1515" s="44">
        <v>2.6</v>
      </c>
      <c r="C1515" s="38" t="s">
        <v>2009</v>
      </c>
      <c r="D1515" s="17">
        <v>30</v>
      </c>
      <c r="E1515" s="18" t="s">
        <v>3</v>
      </c>
      <c r="F1515" s="39"/>
      <c r="G1515" s="28">
        <f t="shared" si="71"/>
        <v>0</v>
      </c>
    </row>
    <row r="1516" spans="2:8" outlineLevel="2" x14ac:dyDescent="0.3">
      <c r="B1516" s="44">
        <v>2.7</v>
      </c>
      <c r="C1516" s="38" t="s">
        <v>2010</v>
      </c>
      <c r="D1516" s="17">
        <v>29</v>
      </c>
      <c r="E1516" s="18" t="s">
        <v>3</v>
      </c>
      <c r="F1516" s="39"/>
      <c r="G1516" s="28">
        <f t="shared" si="71"/>
        <v>0</v>
      </c>
    </row>
    <row r="1517" spans="2:8" outlineLevel="2" x14ac:dyDescent="0.3">
      <c r="B1517" s="44">
        <v>2.8</v>
      </c>
      <c r="C1517" s="38" t="s">
        <v>2011</v>
      </c>
      <c r="D1517" s="17">
        <v>16</v>
      </c>
      <c r="E1517" s="18" t="s">
        <v>3</v>
      </c>
      <c r="F1517" s="39"/>
      <c r="G1517" s="28">
        <f t="shared" si="71"/>
        <v>0</v>
      </c>
    </row>
    <row r="1518" spans="2:8" outlineLevel="2" x14ac:dyDescent="0.3">
      <c r="B1518" s="44">
        <v>2.9</v>
      </c>
      <c r="C1518" s="38" t="s">
        <v>2012</v>
      </c>
      <c r="D1518" s="17">
        <v>2</v>
      </c>
      <c r="E1518" s="18" t="s">
        <v>3</v>
      </c>
      <c r="F1518" s="39"/>
      <c r="G1518" s="28">
        <f t="shared" si="71"/>
        <v>0</v>
      </c>
    </row>
    <row r="1519" spans="2:8" ht="27.6" outlineLevel="2" x14ac:dyDescent="0.3">
      <c r="B1519" s="44">
        <v>2.1</v>
      </c>
      <c r="C1519" s="38" t="s">
        <v>2013</v>
      </c>
      <c r="D1519" s="17">
        <v>1</v>
      </c>
      <c r="E1519" s="18" t="s">
        <v>3</v>
      </c>
      <c r="F1519" s="39"/>
      <c r="G1519" s="28">
        <f t="shared" si="71"/>
        <v>0</v>
      </c>
    </row>
    <row r="1520" spans="2:8" ht="27.6" outlineLevel="2" x14ac:dyDescent="0.3">
      <c r="B1520" s="44">
        <v>2.11</v>
      </c>
      <c r="C1520" s="38" t="s">
        <v>2014</v>
      </c>
      <c r="D1520" s="17">
        <v>651</v>
      </c>
      <c r="E1520" s="18" t="s">
        <v>3</v>
      </c>
      <c r="F1520" s="39"/>
      <c r="G1520" s="28">
        <f t="shared" si="71"/>
        <v>0</v>
      </c>
    </row>
    <row r="1521" spans="2:9" ht="27.6" outlineLevel="2" x14ac:dyDescent="0.3">
      <c r="B1521" s="44">
        <v>2.12</v>
      </c>
      <c r="C1521" s="38" t="s">
        <v>2015</v>
      </c>
      <c r="D1521" s="17">
        <v>21</v>
      </c>
      <c r="E1521" s="18" t="s">
        <v>3</v>
      </c>
      <c r="F1521" s="39"/>
      <c r="G1521" s="28">
        <f t="shared" si="71"/>
        <v>0</v>
      </c>
    </row>
    <row r="1522" spans="2:9" outlineLevel="2" x14ac:dyDescent="0.3">
      <c r="B1522" s="44">
        <v>2.13</v>
      </c>
      <c r="C1522" s="38" t="s">
        <v>2288</v>
      </c>
      <c r="D1522" s="17">
        <v>1</v>
      </c>
      <c r="E1522" s="18" t="s">
        <v>2287</v>
      </c>
      <c r="F1522" s="39"/>
      <c r="G1522" s="28">
        <f t="shared" si="71"/>
        <v>0</v>
      </c>
      <c r="H1522" s="122"/>
      <c r="I1522" s="120"/>
    </row>
    <row r="1523" spans="2:9" outlineLevel="2" x14ac:dyDescent="0.3">
      <c r="B1523" s="44">
        <v>2.14</v>
      </c>
      <c r="C1523" s="38" t="s">
        <v>2016</v>
      </c>
      <c r="D1523" s="17">
        <v>1</v>
      </c>
      <c r="E1523" s="18" t="s">
        <v>2287</v>
      </c>
      <c r="F1523" s="39"/>
      <c r="G1523" s="28">
        <f t="shared" si="71"/>
        <v>0</v>
      </c>
      <c r="H1523" s="122"/>
    </row>
    <row r="1524" spans="2:9" outlineLevel="2" x14ac:dyDescent="0.3">
      <c r="B1524" s="44">
        <v>2.15</v>
      </c>
      <c r="C1524" s="38" t="s">
        <v>2017</v>
      </c>
      <c r="D1524" s="17">
        <v>11.8675</v>
      </c>
      <c r="E1524" s="18" t="s">
        <v>2284</v>
      </c>
      <c r="F1524" s="39"/>
      <c r="G1524" s="28">
        <f t="shared" si="71"/>
        <v>0</v>
      </c>
      <c r="H1524" s="122"/>
    </row>
    <row r="1525" spans="2:9" outlineLevel="2" x14ac:dyDescent="0.3">
      <c r="B1525" s="44"/>
      <c r="C1525" s="38"/>
      <c r="D1525" s="17"/>
      <c r="E1525" s="18"/>
      <c r="F1525" s="39"/>
      <c r="G1525" s="20"/>
    </row>
    <row r="1526" spans="2:9" outlineLevel="1" x14ac:dyDescent="0.3">
      <c r="B1526" s="103">
        <v>4.09</v>
      </c>
      <c r="C1526" s="22" t="s">
        <v>2018</v>
      </c>
      <c r="D1526" s="23"/>
      <c r="E1526" s="24"/>
      <c r="F1526" s="25"/>
      <c r="G1526" s="26">
        <f>+SUBTOTAL(9,G1527:G1790)</f>
        <v>0</v>
      </c>
    </row>
    <row r="1527" spans="2:9" outlineLevel="2" x14ac:dyDescent="0.3">
      <c r="B1527" s="29" t="s">
        <v>2019</v>
      </c>
      <c r="C1527" s="16" t="s">
        <v>2020</v>
      </c>
      <c r="D1527" s="17"/>
      <c r="E1527" s="18"/>
      <c r="F1527" s="19"/>
      <c r="G1527" s="20">
        <f>SUBTOTAL(9,G1528:G1564)</f>
        <v>0</v>
      </c>
    </row>
    <row r="1528" spans="2:9" ht="55.2" outlineLevel="3" x14ac:dyDescent="0.3">
      <c r="B1528" s="44">
        <v>1.01</v>
      </c>
      <c r="C1528" s="38" t="s">
        <v>2024</v>
      </c>
      <c r="D1528" s="17">
        <v>15.6</v>
      </c>
      <c r="E1528" s="18" t="s">
        <v>10</v>
      </c>
      <c r="F1528" s="39"/>
      <c r="G1528" s="28">
        <f t="shared" ref="G1528:G1563" si="72">ROUNDUP(D1528*F1528,2)</f>
        <v>0</v>
      </c>
    </row>
    <row r="1529" spans="2:9" ht="55.2" outlineLevel="3" x14ac:dyDescent="0.3">
      <c r="B1529" s="44">
        <v>1.02</v>
      </c>
      <c r="C1529" s="38" t="s">
        <v>2025</v>
      </c>
      <c r="D1529" s="17">
        <v>374.24</v>
      </c>
      <c r="E1529" s="18" t="s">
        <v>10</v>
      </c>
      <c r="F1529" s="39"/>
      <c r="G1529" s="28">
        <f t="shared" si="72"/>
        <v>0</v>
      </c>
    </row>
    <row r="1530" spans="2:9" ht="41.4" outlineLevel="3" x14ac:dyDescent="0.3">
      <c r="B1530" s="44">
        <v>1.03</v>
      </c>
      <c r="C1530" s="38" t="s">
        <v>2026</v>
      </c>
      <c r="D1530" s="17">
        <v>266.10000000000002</v>
      </c>
      <c r="E1530" s="18" t="s">
        <v>2027</v>
      </c>
      <c r="F1530" s="39"/>
      <c r="G1530" s="28">
        <f t="shared" si="72"/>
        <v>0</v>
      </c>
    </row>
    <row r="1531" spans="2:9" ht="69" outlineLevel="3" x14ac:dyDescent="0.3">
      <c r="B1531" s="44">
        <v>1.04</v>
      </c>
      <c r="C1531" s="38" t="s">
        <v>2028</v>
      </c>
      <c r="D1531" s="17">
        <v>67.33</v>
      </c>
      <c r="E1531" s="18" t="s">
        <v>10</v>
      </c>
      <c r="F1531" s="39"/>
      <c r="G1531" s="28">
        <f t="shared" si="72"/>
        <v>0</v>
      </c>
    </row>
    <row r="1532" spans="2:9" ht="41.4" outlineLevel="3" x14ac:dyDescent="0.3">
      <c r="B1532" s="44">
        <v>1.05</v>
      </c>
      <c r="C1532" s="38" t="s">
        <v>2029</v>
      </c>
      <c r="D1532" s="17">
        <v>103.85</v>
      </c>
      <c r="E1532" s="18" t="s">
        <v>10</v>
      </c>
      <c r="F1532" s="39"/>
      <c r="G1532" s="28">
        <f t="shared" si="72"/>
        <v>0</v>
      </c>
    </row>
    <row r="1533" spans="2:9" ht="41.4" outlineLevel="3" x14ac:dyDescent="0.3">
      <c r="B1533" s="44">
        <v>1.06</v>
      </c>
      <c r="C1533" s="38" t="s">
        <v>2030</v>
      </c>
      <c r="D1533" s="17">
        <v>5.0999999999999996</v>
      </c>
      <c r="E1533" s="18" t="s">
        <v>10</v>
      </c>
      <c r="F1533" s="39"/>
      <c r="G1533" s="28">
        <f t="shared" si="72"/>
        <v>0</v>
      </c>
    </row>
    <row r="1534" spans="2:9" ht="27.6" outlineLevel="3" x14ac:dyDescent="0.3">
      <c r="B1534" s="44">
        <v>1.07</v>
      </c>
      <c r="C1534" s="38" t="s">
        <v>2031</v>
      </c>
      <c r="D1534" s="17">
        <v>120.8</v>
      </c>
      <c r="E1534" s="18" t="s">
        <v>10</v>
      </c>
      <c r="F1534" s="39"/>
      <c r="G1534" s="28">
        <f t="shared" si="72"/>
        <v>0</v>
      </c>
    </row>
    <row r="1535" spans="2:9" ht="41.4" outlineLevel="3" x14ac:dyDescent="0.3">
      <c r="B1535" s="44">
        <v>1.08</v>
      </c>
      <c r="C1535" s="38" t="s">
        <v>2032</v>
      </c>
      <c r="D1535" s="17">
        <v>54.84</v>
      </c>
      <c r="E1535" s="18" t="s">
        <v>2027</v>
      </c>
      <c r="F1535" s="39"/>
      <c r="G1535" s="28">
        <f t="shared" si="72"/>
        <v>0</v>
      </c>
    </row>
    <row r="1536" spans="2:9" ht="41.4" outlineLevel="3" x14ac:dyDescent="0.3">
      <c r="B1536" s="44">
        <v>1.0900000000000001</v>
      </c>
      <c r="C1536" s="38" t="s">
        <v>2033</v>
      </c>
      <c r="D1536" s="17">
        <v>56.75</v>
      </c>
      <c r="E1536" s="18" t="s">
        <v>2027</v>
      </c>
      <c r="F1536" s="39"/>
      <c r="G1536" s="28">
        <f t="shared" si="72"/>
        <v>0</v>
      </c>
    </row>
    <row r="1537" spans="2:7" ht="41.4" outlineLevel="3" x14ac:dyDescent="0.3">
      <c r="B1537" s="44">
        <v>1.1000000000000001</v>
      </c>
      <c r="C1537" s="38" t="s">
        <v>2034</v>
      </c>
      <c r="D1537" s="17">
        <v>11.78</v>
      </c>
      <c r="E1537" s="18" t="s">
        <v>10</v>
      </c>
      <c r="F1537" s="39"/>
      <c r="G1537" s="28">
        <f t="shared" si="72"/>
        <v>0</v>
      </c>
    </row>
    <row r="1538" spans="2:7" ht="27.6" outlineLevel="3" x14ac:dyDescent="0.3">
      <c r="B1538" s="44">
        <v>1.1100000000000001</v>
      </c>
      <c r="C1538" s="38" t="s">
        <v>2035</v>
      </c>
      <c r="D1538" s="17">
        <v>21</v>
      </c>
      <c r="E1538" s="18" t="s">
        <v>2027</v>
      </c>
      <c r="F1538" s="39"/>
      <c r="G1538" s="28">
        <f t="shared" si="72"/>
        <v>0</v>
      </c>
    </row>
    <row r="1539" spans="2:7" ht="27.6" outlineLevel="3" x14ac:dyDescent="0.3">
      <c r="B1539" s="44">
        <v>1.1200000000000001</v>
      </c>
      <c r="C1539" s="38" t="s">
        <v>2036</v>
      </c>
      <c r="D1539" s="17">
        <v>30.36</v>
      </c>
      <c r="E1539" s="18" t="s">
        <v>2027</v>
      </c>
      <c r="F1539" s="39"/>
      <c r="G1539" s="28">
        <f t="shared" si="72"/>
        <v>0</v>
      </c>
    </row>
    <row r="1540" spans="2:7" outlineLevel="3" x14ac:dyDescent="0.3">
      <c r="B1540" s="44">
        <v>1.1299999999999999</v>
      </c>
      <c r="C1540" s="38" t="s">
        <v>2037</v>
      </c>
      <c r="D1540" s="17">
        <v>1639.81</v>
      </c>
      <c r="E1540" s="18" t="s">
        <v>10</v>
      </c>
      <c r="F1540" s="39"/>
      <c r="G1540" s="28">
        <f t="shared" si="72"/>
        <v>0</v>
      </c>
    </row>
    <row r="1541" spans="2:7" outlineLevel="3" x14ac:dyDescent="0.3">
      <c r="B1541" s="44">
        <v>1.1399999999999999</v>
      </c>
      <c r="C1541" s="38" t="s">
        <v>2038</v>
      </c>
      <c r="D1541" s="17">
        <v>1460.68</v>
      </c>
      <c r="E1541" s="18" t="s">
        <v>10</v>
      </c>
      <c r="F1541" s="39"/>
      <c r="G1541" s="28">
        <f t="shared" si="72"/>
        <v>0</v>
      </c>
    </row>
    <row r="1542" spans="2:7" outlineLevel="3" x14ac:dyDescent="0.3">
      <c r="B1542" s="44">
        <v>1.1499999999999999</v>
      </c>
      <c r="C1542" s="38" t="s">
        <v>2039</v>
      </c>
      <c r="D1542" s="17">
        <v>3222.54</v>
      </c>
      <c r="E1542" s="18" t="s">
        <v>10</v>
      </c>
      <c r="F1542" s="39"/>
      <c r="G1542" s="28">
        <f t="shared" si="72"/>
        <v>0</v>
      </c>
    </row>
    <row r="1543" spans="2:7" outlineLevel="3" x14ac:dyDescent="0.3">
      <c r="B1543" s="44">
        <v>1.1599999999999999</v>
      </c>
      <c r="C1543" s="38" t="s">
        <v>2040</v>
      </c>
      <c r="D1543" s="17">
        <v>3</v>
      </c>
      <c r="E1543" s="18" t="s">
        <v>945</v>
      </c>
      <c r="F1543" s="39"/>
      <c r="G1543" s="28">
        <f t="shared" si="72"/>
        <v>0</v>
      </c>
    </row>
    <row r="1544" spans="2:7" outlineLevel="3" x14ac:dyDescent="0.3">
      <c r="B1544" s="44">
        <v>1.17</v>
      </c>
      <c r="C1544" s="38" t="s">
        <v>2041</v>
      </c>
      <c r="D1544" s="17">
        <v>3</v>
      </c>
      <c r="E1544" s="18" t="s">
        <v>2042</v>
      </c>
      <c r="F1544" s="39"/>
      <c r="G1544" s="28">
        <f t="shared" si="72"/>
        <v>0</v>
      </c>
    </row>
    <row r="1545" spans="2:7" ht="41.4" outlineLevel="3" x14ac:dyDescent="0.3">
      <c r="B1545" s="44">
        <v>1.18</v>
      </c>
      <c r="C1545" s="38" t="s">
        <v>2043</v>
      </c>
      <c r="D1545" s="17">
        <v>3</v>
      </c>
      <c r="E1545" s="18" t="s">
        <v>2042</v>
      </c>
      <c r="F1545" s="39"/>
      <c r="G1545" s="28">
        <f t="shared" si="72"/>
        <v>0</v>
      </c>
    </row>
    <row r="1546" spans="2:7" ht="27.6" outlineLevel="3" x14ac:dyDescent="0.3">
      <c r="B1546" s="44">
        <v>1.19</v>
      </c>
      <c r="C1546" s="38" t="s">
        <v>2044</v>
      </c>
      <c r="D1546" s="17">
        <v>3</v>
      </c>
      <c r="E1546" s="18" t="s">
        <v>2042</v>
      </c>
      <c r="F1546" s="39"/>
      <c r="G1546" s="28">
        <f t="shared" si="72"/>
        <v>0</v>
      </c>
    </row>
    <row r="1547" spans="2:7" ht="55.2" outlineLevel="3" x14ac:dyDescent="0.3">
      <c r="B1547" s="44">
        <v>1.2</v>
      </c>
      <c r="C1547" s="38" t="s">
        <v>2045</v>
      </c>
      <c r="D1547" s="17">
        <v>3</v>
      </c>
      <c r="E1547" s="18" t="s">
        <v>2042</v>
      </c>
      <c r="F1547" s="39"/>
      <c r="G1547" s="28">
        <f t="shared" si="72"/>
        <v>0</v>
      </c>
    </row>
    <row r="1548" spans="2:7" ht="27.6" outlineLevel="3" x14ac:dyDescent="0.3">
      <c r="B1548" s="44">
        <v>1.21</v>
      </c>
      <c r="C1548" s="38" t="s">
        <v>2046</v>
      </c>
      <c r="D1548" s="17">
        <v>3</v>
      </c>
      <c r="E1548" s="18" t="s">
        <v>2042</v>
      </c>
      <c r="F1548" s="39"/>
      <c r="G1548" s="28">
        <f t="shared" si="72"/>
        <v>0</v>
      </c>
    </row>
    <row r="1549" spans="2:7" ht="55.2" outlineLevel="3" x14ac:dyDescent="0.3">
      <c r="B1549" s="44" t="s">
        <v>2047</v>
      </c>
      <c r="C1549" s="38" t="s">
        <v>2048</v>
      </c>
      <c r="D1549" s="17">
        <v>4.55</v>
      </c>
      <c r="E1549" s="18" t="s">
        <v>10</v>
      </c>
      <c r="F1549" s="39"/>
      <c r="G1549" s="28">
        <f t="shared" si="72"/>
        <v>0</v>
      </c>
    </row>
    <row r="1550" spans="2:7" outlineLevel="3" x14ac:dyDescent="0.3">
      <c r="B1550" s="44" t="s">
        <v>2049</v>
      </c>
      <c r="C1550" s="38" t="s">
        <v>2050</v>
      </c>
      <c r="D1550" s="17">
        <v>3</v>
      </c>
      <c r="E1550" s="18" t="s">
        <v>2042</v>
      </c>
      <c r="F1550" s="39"/>
      <c r="G1550" s="28">
        <f t="shared" si="72"/>
        <v>0</v>
      </c>
    </row>
    <row r="1551" spans="2:7" outlineLevel="3" x14ac:dyDescent="0.3">
      <c r="B1551" s="44" t="s">
        <v>2051</v>
      </c>
      <c r="C1551" s="38" t="s">
        <v>2052</v>
      </c>
      <c r="D1551" s="17">
        <v>3</v>
      </c>
      <c r="E1551" s="18" t="s">
        <v>2042</v>
      </c>
      <c r="F1551" s="39"/>
      <c r="G1551" s="28">
        <f t="shared" si="72"/>
        <v>0</v>
      </c>
    </row>
    <row r="1552" spans="2:7" ht="27.6" outlineLevel="3" x14ac:dyDescent="0.3">
      <c r="B1552" s="44">
        <v>1.23</v>
      </c>
      <c r="C1552" s="38" t="s">
        <v>2053</v>
      </c>
      <c r="D1552" s="17">
        <v>58</v>
      </c>
      <c r="E1552" s="18" t="s">
        <v>3</v>
      </c>
      <c r="F1552" s="39"/>
      <c r="G1552" s="28">
        <f t="shared" si="72"/>
        <v>0</v>
      </c>
    </row>
    <row r="1553" spans="2:8" outlineLevel="3" x14ac:dyDescent="0.3">
      <c r="B1553" s="44">
        <v>1.24</v>
      </c>
      <c r="C1553" s="38" t="s">
        <v>2054</v>
      </c>
      <c r="D1553" s="17">
        <v>58</v>
      </c>
      <c r="E1553" s="18" t="s">
        <v>3</v>
      </c>
      <c r="F1553" s="39"/>
      <c r="G1553" s="28">
        <f t="shared" si="72"/>
        <v>0</v>
      </c>
      <c r="H1553" s="122"/>
    </row>
    <row r="1554" spans="2:8" outlineLevel="3" x14ac:dyDescent="0.3">
      <c r="B1554" s="44">
        <v>1.25</v>
      </c>
      <c r="C1554" s="38" t="s">
        <v>2055</v>
      </c>
      <c r="D1554" s="17">
        <v>38</v>
      </c>
      <c r="E1554" s="18" t="s">
        <v>3</v>
      </c>
      <c r="F1554" s="39"/>
      <c r="G1554" s="28">
        <f t="shared" si="72"/>
        <v>0</v>
      </c>
      <c r="H1554" s="122"/>
    </row>
    <row r="1555" spans="2:8" outlineLevel="3" x14ac:dyDescent="0.3">
      <c r="B1555" s="44">
        <v>1.26</v>
      </c>
      <c r="C1555" s="38" t="s">
        <v>2056</v>
      </c>
      <c r="D1555" s="17">
        <v>321.93</v>
      </c>
      <c r="E1555" s="18" t="s">
        <v>10</v>
      </c>
      <c r="F1555" s="39"/>
      <c r="G1555" s="28">
        <f t="shared" si="72"/>
        <v>0</v>
      </c>
    </row>
    <row r="1556" spans="2:8" ht="27.6" outlineLevel="3" x14ac:dyDescent="0.3">
      <c r="B1556" s="44">
        <v>1.27</v>
      </c>
      <c r="C1556" s="38" t="s">
        <v>2057</v>
      </c>
      <c r="D1556" s="17">
        <v>323.45999999999998</v>
      </c>
      <c r="E1556" s="18" t="s">
        <v>10</v>
      </c>
      <c r="F1556" s="39"/>
      <c r="G1556" s="28">
        <f t="shared" si="72"/>
        <v>0</v>
      </c>
    </row>
    <row r="1557" spans="2:8" ht="27.6" outlineLevel="3" x14ac:dyDescent="0.3">
      <c r="B1557" s="44">
        <v>1.28</v>
      </c>
      <c r="C1557" s="38" t="s">
        <v>2058</v>
      </c>
      <c r="D1557" s="17">
        <v>45.66</v>
      </c>
      <c r="E1557" s="18" t="s">
        <v>10</v>
      </c>
      <c r="F1557" s="39"/>
      <c r="G1557" s="28">
        <f t="shared" si="72"/>
        <v>0</v>
      </c>
    </row>
    <row r="1558" spans="2:8" ht="41.4" outlineLevel="3" x14ac:dyDescent="0.3">
      <c r="B1558" s="44">
        <v>1.29</v>
      </c>
      <c r="C1558" s="38" t="s">
        <v>2059</v>
      </c>
      <c r="D1558" s="17">
        <v>12.3</v>
      </c>
      <c r="E1558" s="18" t="s">
        <v>947</v>
      </c>
      <c r="F1558" s="39"/>
      <c r="G1558" s="28">
        <f t="shared" si="72"/>
        <v>0</v>
      </c>
    </row>
    <row r="1559" spans="2:8" ht="27.6" outlineLevel="3" x14ac:dyDescent="0.3">
      <c r="B1559" s="44">
        <v>1.3</v>
      </c>
      <c r="C1559" s="38" t="s">
        <v>2060</v>
      </c>
      <c r="D1559" s="17">
        <v>12.3</v>
      </c>
      <c r="E1559" s="18" t="s">
        <v>947</v>
      </c>
      <c r="F1559" s="39"/>
      <c r="G1559" s="28">
        <f t="shared" si="72"/>
        <v>0</v>
      </c>
    </row>
    <row r="1560" spans="2:8" ht="41.4" outlineLevel="3" x14ac:dyDescent="0.3">
      <c r="B1560" s="44">
        <v>1.31</v>
      </c>
      <c r="C1560" s="38" t="s">
        <v>2061</v>
      </c>
      <c r="D1560" s="17">
        <v>2.25</v>
      </c>
      <c r="E1560" s="18" t="s">
        <v>10</v>
      </c>
      <c r="F1560" s="39"/>
      <c r="G1560" s="28">
        <f t="shared" si="72"/>
        <v>0</v>
      </c>
    </row>
    <row r="1561" spans="2:8" ht="41.4" outlineLevel="3" x14ac:dyDescent="0.3">
      <c r="B1561" s="44">
        <v>1.32</v>
      </c>
      <c r="C1561" s="38" t="s">
        <v>2059</v>
      </c>
      <c r="D1561" s="17">
        <v>17.059999999999999</v>
      </c>
      <c r="E1561" s="18" t="s">
        <v>947</v>
      </c>
      <c r="F1561" s="39"/>
      <c r="G1561" s="28">
        <f t="shared" si="72"/>
        <v>0</v>
      </c>
    </row>
    <row r="1562" spans="2:8" ht="27.6" outlineLevel="3" x14ac:dyDescent="0.3">
      <c r="B1562" s="44">
        <v>1.33</v>
      </c>
      <c r="C1562" s="38" t="s">
        <v>2060</v>
      </c>
      <c r="D1562" s="17">
        <v>17.059999999999999</v>
      </c>
      <c r="E1562" s="18" t="s">
        <v>947</v>
      </c>
      <c r="F1562" s="39"/>
      <c r="G1562" s="28">
        <f t="shared" si="72"/>
        <v>0</v>
      </c>
    </row>
    <row r="1563" spans="2:8" ht="41.4" outlineLevel="3" x14ac:dyDescent="0.3">
      <c r="B1563" s="44">
        <v>1.34</v>
      </c>
      <c r="C1563" s="38" t="s">
        <v>2062</v>
      </c>
      <c r="D1563" s="17">
        <v>3.12</v>
      </c>
      <c r="E1563" s="18" t="s">
        <v>10</v>
      </c>
      <c r="F1563" s="39"/>
      <c r="G1563" s="28">
        <f t="shared" si="72"/>
        <v>0</v>
      </c>
    </row>
    <row r="1564" spans="2:8" outlineLevel="3" x14ac:dyDescent="0.3">
      <c r="B1564" s="44"/>
      <c r="C1564" s="38"/>
      <c r="D1564" s="17"/>
      <c r="E1564" s="18"/>
      <c r="F1564" s="39"/>
      <c r="G1564" s="20"/>
    </row>
    <row r="1565" spans="2:8" outlineLevel="2" x14ac:dyDescent="0.3">
      <c r="B1565" s="29" t="s">
        <v>2094</v>
      </c>
      <c r="C1565" s="16" t="s">
        <v>2021</v>
      </c>
      <c r="D1565" s="17"/>
      <c r="E1565" s="18"/>
      <c r="F1565" s="19"/>
      <c r="G1565" s="20">
        <f>SUBTOTAL(9,G1566:G1598)</f>
        <v>0</v>
      </c>
    </row>
    <row r="1566" spans="2:8" ht="55.2" outlineLevel="3" x14ac:dyDescent="0.3">
      <c r="B1566" s="44">
        <v>2</v>
      </c>
      <c r="C1566" s="38" t="s">
        <v>2063</v>
      </c>
      <c r="D1566" s="17">
        <v>5.2</v>
      </c>
      <c r="E1566" s="18" t="s">
        <v>10</v>
      </c>
      <c r="F1566" s="39"/>
      <c r="G1566" s="28">
        <f t="shared" ref="G1566:G1597" si="73">ROUNDUP(D1566*F1566,2)</f>
        <v>0</v>
      </c>
    </row>
    <row r="1567" spans="2:8" ht="55.2" outlineLevel="3" x14ac:dyDescent="0.3">
      <c r="B1567" s="44">
        <v>2.0099999999999998</v>
      </c>
      <c r="C1567" s="38" t="s">
        <v>2064</v>
      </c>
      <c r="D1567" s="17">
        <v>115.04</v>
      </c>
      <c r="E1567" s="18" t="s">
        <v>10</v>
      </c>
      <c r="F1567" s="39"/>
      <c r="G1567" s="28">
        <f t="shared" si="73"/>
        <v>0</v>
      </c>
    </row>
    <row r="1568" spans="2:8" ht="41.4" outlineLevel="3" x14ac:dyDescent="0.3">
      <c r="B1568" s="44">
        <v>2.02</v>
      </c>
      <c r="C1568" s="38" t="s">
        <v>2065</v>
      </c>
      <c r="D1568" s="17">
        <v>78.86</v>
      </c>
      <c r="E1568" s="18" t="s">
        <v>2066</v>
      </c>
      <c r="F1568" s="39"/>
      <c r="G1568" s="28">
        <f t="shared" si="73"/>
        <v>0</v>
      </c>
    </row>
    <row r="1569" spans="2:7" ht="69" outlineLevel="3" x14ac:dyDescent="0.3">
      <c r="B1569" s="44">
        <v>2.0299999999999998</v>
      </c>
      <c r="C1569" s="38" t="s">
        <v>2067</v>
      </c>
      <c r="D1569" s="17">
        <v>22.44</v>
      </c>
      <c r="E1569" s="18" t="s">
        <v>10</v>
      </c>
      <c r="F1569" s="39"/>
      <c r="G1569" s="28">
        <f t="shared" si="73"/>
        <v>0</v>
      </c>
    </row>
    <row r="1570" spans="2:7" ht="41.4" outlineLevel="3" x14ac:dyDescent="0.3">
      <c r="B1570" s="44">
        <v>2.04</v>
      </c>
      <c r="C1570" s="38" t="s">
        <v>2068</v>
      </c>
      <c r="D1570" s="17">
        <v>34.619999999999997</v>
      </c>
      <c r="E1570" s="18" t="s">
        <v>10</v>
      </c>
      <c r="F1570" s="39"/>
      <c r="G1570" s="28">
        <f t="shared" si="73"/>
        <v>0</v>
      </c>
    </row>
    <row r="1571" spans="2:7" ht="41.4" outlineLevel="3" x14ac:dyDescent="0.3">
      <c r="B1571" s="44">
        <v>2.0499999999999998</v>
      </c>
      <c r="C1571" s="38" t="s">
        <v>2030</v>
      </c>
      <c r="D1571" s="17">
        <v>1.48</v>
      </c>
      <c r="E1571" s="18" t="s">
        <v>10</v>
      </c>
      <c r="F1571" s="39"/>
      <c r="G1571" s="28">
        <f t="shared" si="73"/>
        <v>0</v>
      </c>
    </row>
    <row r="1572" spans="2:7" ht="41.4" outlineLevel="3" x14ac:dyDescent="0.3">
      <c r="B1572" s="44">
        <v>2.06</v>
      </c>
      <c r="C1572" s="38" t="s">
        <v>2069</v>
      </c>
      <c r="D1572" s="17">
        <v>18.28</v>
      </c>
      <c r="E1572" s="18" t="s">
        <v>2066</v>
      </c>
      <c r="F1572" s="39"/>
      <c r="G1572" s="28">
        <f t="shared" si="73"/>
        <v>0</v>
      </c>
    </row>
    <row r="1573" spans="2:7" ht="41.4" outlineLevel="3" x14ac:dyDescent="0.3">
      <c r="B1573" s="44">
        <v>2.0699999999999998</v>
      </c>
      <c r="C1573" s="38" t="s">
        <v>2070</v>
      </c>
      <c r="D1573" s="17">
        <v>23.15</v>
      </c>
      <c r="E1573" s="18" t="s">
        <v>2066</v>
      </c>
      <c r="F1573" s="39"/>
      <c r="G1573" s="28">
        <f t="shared" si="73"/>
        <v>0</v>
      </c>
    </row>
    <row r="1574" spans="2:7" ht="41.4" outlineLevel="3" x14ac:dyDescent="0.3">
      <c r="B1574" s="44">
        <v>2.08</v>
      </c>
      <c r="C1574" s="38" t="s">
        <v>2071</v>
      </c>
      <c r="D1574" s="17">
        <v>6.44</v>
      </c>
      <c r="E1574" s="18" t="s">
        <v>10</v>
      </c>
      <c r="F1574" s="39"/>
      <c r="G1574" s="28">
        <f t="shared" si="73"/>
        <v>0</v>
      </c>
    </row>
    <row r="1575" spans="2:7" ht="27.6" outlineLevel="3" x14ac:dyDescent="0.3">
      <c r="B1575" s="44">
        <v>2.09</v>
      </c>
      <c r="C1575" s="38" t="s">
        <v>2072</v>
      </c>
      <c r="D1575" s="17">
        <v>7</v>
      </c>
      <c r="E1575" s="18" t="s">
        <v>2066</v>
      </c>
      <c r="F1575" s="39"/>
      <c r="G1575" s="28">
        <f t="shared" si="73"/>
        <v>0</v>
      </c>
    </row>
    <row r="1576" spans="2:7" ht="27.6" outlineLevel="3" x14ac:dyDescent="0.3">
      <c r="B1576" s="44">
        <v>2.1</v>
      </c>
      <c r="C1576" s="38" t="s">
        <v>2073</v>
      </c>
      <c r="D1576" s="17">
        <v>10.119999999999999</v>
      </c>
      <c r="E1576" s="18" t="s">
        <v>2066</v>
      </c>
      <c r="F1576" s="39"/>
      <c r="G1576" s="28">
        <f t="shared" si="73"/>
        <v>0</v>
      </c>
    </row>
    <row r="1577" spans="2:7" outlineLevel="3" x14ac:dyDescent="0.3">
      <c r="B1577" s="44">
        <v>2.11</v>
      </c>
      <c r="C1577" s="38" t="s">
        <v>2037</v>
      </c>
      <c r="D1577" s="17">
        <v>489.01</v>
      </c>
      <c r="E1577" s="18" t="s">
        <v>10</v>
      </c>
      <c r="F1577" s="39"/>
      <c r="G1577" s="28">
        <f t="shared" si="73"/>
        <v>0</v>
      </c>
    </row>
    <row r="1578" spans="2:7" outlineLevel="3" x14ac:dyDescent="0.3">
      <c r="B1578" s="44">
        <v>2.12</v>
      </c>
      <c r="C1578" s="38" t="s">
        <v>2074</v>
      </c>
      <c r="D1578" s="17">
        <v>499.69</v>
      </c>
      <c r="E1578" s="18" t="s">
        <v>10</v>
      </c>
      <c r="F1578" s="39"/>
      <c r="G1578" s="28">
        <f t="shared" si="73"/>
        <v>0</v>
      </c>
    </row>
    <row r="1579" spans="2:7" outlineLevel="3" x14ac:dyDescent="0.3">
      <c r="B1579" s="44">
        <v>2.13</v>
      </c>
      <c r="C1579" s="38" t="s">
        <v>2075</v>
      </c>
      <c r="D1579" s="17">
        <v>1074.18</v>
      </c>
      <c r="E1579" s="18" t="s">
        <v>10</v>
      </c>
      <c r="F1579" s="39"/>
      <c r="G1579" s="28">
        <f t="shared" si="73"/>
        <v>0</v>
      </c>
    </row>
    <row r="1580" spans="2:7" outlineLevel="3" x14ac:dyDescent="0.3">
      <c r="B1580" s="44">
        <v>2.14</v>
      </c>
      <c r="C1580" s="38" t="s">
        <v>2076</v>
      </c>
      <c r="D1580" s="17">
        <v>1</v>
      </c>
      <c r="E1580" s="18" t="s">
        <v>948</v>
      </c>
      <c r="F1580" s="39"/>
      <c r="G1580" s="28">
        <f t="shared" si="73"/>
        <v>0</v>
      </c>
    </row>
    <row r="1581" spans="2:7" outlineLevel="3" x14ac:dyDescent="0.3">
      <c r="B1581" s="44">
        <v>2.15</v>
      </c>
      <c r="C1581" s="38" t="s">
        <v>2077</v>
      </c>
      <c r="D1581" s="17">
        <v>1</v>
      </c>
      <c r="E1581" s="18" t="s">
        <v>948</v>
      </c>
      <c r="F1581" s="39"/>
      <c r="G1581" s="28">
        <f t="shared" si="73"/>
        <v>0</v>
      </c>
    </row>
    <row r="1582" spans="2:7" ht="41.4" outlineLevel="3" x14ac:dyDescent="0.3">
      <c r="B1582" s="44">
        <v>2.16</v>
      </c>
      <c r="C1582" s="38" t="s">
        <v>2078</v>
      </c>
      <c r="D1582" s="17">
        <v>1</v>
      </c>
      <c r="E1582" s="18" t="s">
        <v>948</v>
      </c>
      <c r="F1582" s="39"/>
      <c r="G1582" s="28">
        <f t="shared" si="73"/>
        <v>0</v>
      </c>
    </row>
    <row r="1583" spans="2:7" ht="27.6" outlineLevel="3" x14ac:dyDescent="0.3">
      <c r="B1583" s="44">
        <v>2.17</v>
      </c>
      <c r="C1583" s="38" t="s">
        <v>2079</v>
      </c>
      <c r="D1583" s="17">
        <v>1</v>
      </c>
      <c r="E1583" s="18" t="s">
        <v>948</v>
      </c>
      <c r="F1583" s="39"/>
      <c r="G1583" s="28">
        <f t="shared" si="73"/>
        <v>0</v>
      </c>
    </row>
    <row r="1584" spans="2:7" ht="41.4" outlineLevel="3" x14ac:dyDescent="0.3">
      <c r="B1584" s="44">
        <v>2.1800000000000002</v>
      </c>
      <c r="C1584" s="38" t="s">
        <v>2080</v>
      </c>
      <c r="D1584" s="17">
        <v>1</v>
      </c>
      <c r="E1584" s="18" t="s">
        <v>948</v>
      </c>
      <c r="F1584" s="39"/>
      <c r="G1584" s="28">
        <f t="shared" si="73"/>
        <v>0</v>
      </c>
    </row>
    <row r="1585" spans="2:11" ht="27.6" outlineLevel="3" x14ac:dyDescent="0.3">
      <c r="B1585" s="44">
        <v>2.19</v>
      </c>
      <c r="C1585" s="38" t="s">
        <v>2081</v>
      </c>
      <c r="D1585" s="17">
        <v>1</v>
      </c>
      <c r="E1585" s="18" t="s">
        <v>945</v>
      </c>
      <c r="F1585" s="39"/>
      <c r="G1585" s="28">
        <f t="shared" si="73"/>
        <v>0</v>
      </c>
    </row>
    <row r="1586" spans="2:11" ht="55.2" outlineLevel="3" x14ac:dyDescent="0.3">
      <c r="B1586" s="44" t="s">
        <v>2082</v>
      </c>
      <c r="C1586" s="38" t="s">
        <v>2083</v>
      </c>
      <c r="D1586" s="17">
        <v>1.52</v>
      </c>
      <c r="E1586" s="18" t="s">
        <v>10</v>
      </c>
      <c r="F1586" s="39"/>
      <c r="G1586" s="28">
        <f t="shared" si="73"/>
        <v>0</v>
      </c>
    </row>
    <row r="1587" spans="2:11" outlineLevel="3" x14ac:dyDescent="0.3">
      <c r="B1587" s="44" t="s">
        <v>2084</v>
      </c>
      <c r="C1587" s="38" t="s">
        <v>2050</v>
      </c>
      <c r="D1587" s="17">
        <v>1</v>
      </c>
      <c r="E1587" s="18" t="s">
        <v>945</v>
      </c>
      <c r="F1587" s="39"/>
      <c r="G1587" s="28">
        <f t="shared" si="73"/>
        <v>0</v>
      </c>
    </row>
    <row r="1588" spans="2:11" outlineLevel="3" x14ac:dyDescent="0.3">
      <c r="B1588" s="44" t="s">
        <v>2085</v>
      </c>
      <c r="C1588" s="38" t="s">
        <v>2086</v>
      </c>
      <c r="D1588" s="17">
        <v>1</v>
      </c>
      <c r="E1588" s="18" t="s">
        <v>945</v>
      </c>
      <c r="F1588" s="39"/>
      <c r="G1588" s="28">
        <f t="shared" si="73"/>
        <v>0</v>
      </c>
    </row>
    <row r="1589" spans="2:11" ht="27.6" outlineLevel="3" x14ac:dyDescent="0.3">
      <c r="B1589" s="44">
        <v>2.21</v>
      </c>
      <c r="C1589" s="38" t="s">
        <v>2087</v>
      </c>
      <c r="D1589" s="17">
        <v>19</v>
      </c>
      <c r="E1589" s="18" t="s">
        <v>3</v>
      </c>
      <c r="F1589" s="39"/>
      <c r="G1589" s="28">
        <f t="shared" si="73"/>
        <v>0</v>
      </c>
    </row>
    <row r="1590" spans="2:11" outlineLevel="3" x14ac:dyDescent="0.3">
      <c r="B1590" s="44">
        <v>2.2200000000000002</v>
      </c>
      <c r="C1590" s="38" t="s">
        <v>2054</v>
      </c>
      <c r="D1590" s="17">
        <v>19</v>
      </c>
      <c r="E1590" s="18" t="s">
        <v>3</v>
      </c>
      <c r="F1590" s="39"/>
      <c r="G1590" s="28">
        <f t="shared" si="73"/>
        <v>0</v>
      </c>
      <c r="H1590" s="122"/>
      <c r="K1590" s="120"/>
    </row>
    <row r="1591" spans="2:11" outlineLevel="3" x14ac:dyDescent="0.3">
      <c r="B1591" s="44">
        <v>2.23</v>
      </c>
      <c r="C1591" s="38" t="s">
        <v>2088</v>
      </c>
      <c r="D1591" s="17">
        <v>13</v>
      </c>
      <c r="E1591" s="18" t="s">
        <v>3</v>
      </c>
      <c r="F1591" s="39"/>
      <c r="G1591" s="28">
        <f t="shared" si="73"/>
        <v>0</v>
      </c>
      <c r="H1591" s="122"/>
    </row>
    <row r="1592" spans="2:11" outlineLevel="3" x14ac:dyDescent="0.3">
      <c r="B1592" s="44">
        <v>2.2400000000000002</v>
      </c>
      <c r="C1592" s="38" t="s">
        <v>2089</v>
      </c>
      <c r="D1592" s="17">
        <v>107.31</v>
      </c>
      <c r="E1592" s="18" t="s">
        <v>10</v>
      </c>
      <c r="F1592" s="39"/>
      <c r="G1592" s="28">
        <f t="shared" si="73"/>
        <v>0</v>
      </c>
    </row>
    <row r="1593" spans="2:11" outlineLevel="3" x14ac:dyDescent="0.3">
      <c r="B1593" s="44">
        <v>2.25</v>
      </c>
      <c r="C1593" s="38" t="s">
        <v>2090</v>
      </c>
      <c r="D1593" s="17">
        <v>107.82</v>
      </c>
      <c r="E1593" s="18" t="s">
        <v>10</v>
      </c>
      <c r="F1593" s="39"/>
      <c r="G1593" s="28">
        <f t="shared" si="73"/>
        <v>0</v>
      </c>
    </row>
    <row r="1594" spans="2:11" ht="27.6" outlineLevel="3" x14ac:dyDescent="0.3">
      <c r="B1594" s="44">
        <v>2.2599999999999998</v>
      </c>
      <c r="C1594" s="38" t="s">
        <v>2091</v>
      </c>
      <c r="D1594" s="17">
        <v>15.22</v>
      </c>
      <c r="E1594" s="18" t="s">
        <v>10</v>
      </c>
      <c r="F1594" s="39"/>
      <c r="G1594" s="28">
        <f t="shared" si="73"/>
        <v>0</v>
      </c>
    </row>
    <row r="1595" spans="2:11" ht="41.4" outlineLevel="3" x14ac:dyDescent="0.3">
      <c r="B1595" s="44">
        <v>2.27</v>
      </c>
      <c r="C1595" s="38" t="s">
        <v>2092</v>
      </c>
      <c r="D1595" s="17">
        <v>8.5299999999999994</v>
      </c>
      <c r="E1595" s="18" t="s">
        <v>947</v>
      </c>
      <c r="F1595" s="39"/>
      <c r="G1595" s="28">
        <f t="shared" si="73"/>
        <v>0</v>
      </c>
    </row>
    <row r="1596" spans="2:11" ht="27.6" outlineLevel="3" x14ac:dyDescent="0.3">
      <c r="B1596" s="44">
        <v>2.2799999999999998</v>
      </c>
      <c r="C1596" s="38" t="s">
        <v>2093</v>
      </c>
      <c r="D1596" s="17">
        <v>8.5299999999999994</v>
      </c>
      <c r="E1596" s="18" t="s">
        <v>947</v>
      </c>
      <c r="F1596" s="39"/>
      <c r="G1596" s="28">
        <f t="shared" si="73"/>
        <v>0</v>
      </c>
    </row>
    <row r="1597" spans="2:11" ht="41.4" outlineLevel="3" x14ac:dyDescent="0.3">
      <c r="B1597" s="44">
        <v>2.29</v>
      </c>
      <c r="C1597" s="38" t="s">
        <v>2062</v>
      </c>
      <c r="D1597" s="17">
        <v>1.56</v>
      </c>
      <c r="E1597" s="18" t="s">
        <v>10</v>
      </c>
      <c r="F1597" s="39"/>
      <c r="G1597" s="28">
        <f t="shared" si="73"/>
        <v>0</v>
      </c>
    </row>
    <row r="1598" spans="2:11" outlineLevel="3" x14ac:dyDescent="0.3">
      <c r="B1598" s="44"/>
      <c r="C1598" s="38"/>
      <c r="D1598" s="17"/>
      <c r="E1598" s="18"/>
      <c r="F1598" s="39"/>
      <c r="G1598" s="20"/>
    </row>
    <row r="1599" spans="2:11" outlineLevel="2" x14ac:dyDescent="0.3">
      <c r="B1599" s="29" t="s">
        <v>2095</v>
      </c>
      <c r="C1599" s="16" t="s">
        <v>2022</v>
      </c>
      <c r="D1599" s="17"/>
      <c r="E1599" s="18"/>
      <c r="F1599" s="19"/>
      <c r="G1599" s="20">
        <f>SUBTOTAL(9,G1600:G1687)</f>
        <v>0</v>
      </c>
    </row>
    <row r="1600" spans="2:11" ht="55.2" outlineLevel="3" x14ac:dyDescent="0.3">
      <c r="B1600" s="44">
        <v>3</v>
      </c>
      <c r="C1600" s="38" t="s">
        <v>2096</v>
      </c>
      <c r="D1600" s="17">
        <v>170.1</v>
      </c>
      <c r="E1600" s="18" t="s">
        <v>10</v>
      </c>
      <c r="F1600" s="39"/>
      <c r="G1600" s="28">
        <f t="shared" ref="G1600:G1664" si="74">ROUNDUP(D1600*F1600,2)</f>
        <v>0</v>
      </c>
    </row>
    <row r="1601" spans="2:7" ht="27.6" outlineLevel="3" x14ac:dyDescent="0.3">
      <c r="B1601" s="44">
        <v>3.01</v>
      </c>
      <c r="C1601" s="38" t="s">
        <v>2097</v>
      </c>
      <c r="D1601" s="17">
        <v>691</v>
      </c>
      <c r="E1601" s="18" t="s">
        <v>10</v>
      </c>
      <c r="F1601" s="39"/>
      <c r="G1601" s="28">
        <f t="shared" si="74"/>
        <v>0</v>
      </c>
    </row>
    <row r="1602" spans="2:7" ht="27.6" outlineLevel="3" x14ac:dyDescent="0.3">
      <c r="B1602" s="44">
        <v>3.02</v>
      </c>
      <c r="C1602" s="38" t="s">
        <v>2098</v>
      </c>
      <c r="D1602" s="17">
        <v>339.15</v>
      </c>
      <c r="E1602" s="18" t="s">
        <v>10</v>
      </c>
      <c r="F1602" s="39"/>
      <c r="G1602" s="28">
        <f t="shared" si="74"/>
        <v>0</v>
      </c>
    </row>
    <row r="1603" spans="2:7" ht="27.6" outlineLevel="3" x14ac:dyDescent="0.3">
      <c r="B1603" s="44">
        <v>3.03</v>
      </c>
      <c r="C1603" s="38" t="s">
        <v>2099</v>
      </c>
      <c r="D1603" s="17">
        <v>65.27</v>
      </c>
      <c r="E1603" s="18" t="s">
        <v>28</v>
      </c>
      <c r="F1603" s="39"/>
      <c r="G1603" s="28">
        <f t="shared" si="74"/>
        <v>0</v>
      </c>
    </row>
    <row r="1604" spans="2:7" ht="55.2" outlineLevel="3" x14ac:dyDescent="0.3">
      <c r="B1604" s="44">
        <v>3.04</v>
      </c>
      <c r="C1604" s="38" t="s">
        <v>2100</v>
      </c>
      <c r="D1604" s="17">
        <v>46.02</v>
      </c>
      <c r="E1604" s="18" t="s">
        <v>10</v>
      </c>
      <c r="F1604" s="39"/>
      <c r="G1604" s="28">
        <f t="shared" si="74"/>
        <v>0</v>
      </c>
    </row>
    <row r="1605" spans="2:7" ht="55.2" outlineLevel="3" x14ac:dyDescent="0.3">
      <c r="B1605" s="44">
        <v>3.05</v>
      </c>
      <c r="C1605" s="38" t="s">
        <v>2101</v>
      </c>
      <c r="D1605" s="17">
        <v>42.86</v>
      </c>
      <c r="E1605" s="18" t="s">
        <v>28</v>
      </c>
      <c r="F1605" s="39"/>
      <c r="G1605" s="28">
        <f t="shared" si="74"/>
        <v>0</v>
      </c>
    </row>
    <row r="1606" spans="2:7" ht="41.4" outlineLevel="3" x14ac:dyDescent="0.3">
      <c r="B1606" s="44">
        <v>3.06</v>
      </c>
      <c r="C1606" s="38" t="s">
        <v>2102</v>
      </c>
      <c r="D1606" s="17">
        <v>7.92</v>
      </c>
      <c r="E1606" s="18" t="s">
        <v>10</v>
      </c>
      <c r="F1606" s="39"/>
      <c r="G1606" s="28">
        <f t="shared" si="74"/>
        <v>0</v>
      </c>
    </row>
    <row r="1607" spans="2:7" ht="55.2" outlineLevel="3" x14ac:dyDescent="0.3">
      <c r="B1607" s="44">
        <v>3.07</v>
      </c>
      <c r="C1607" s="38" t="s">
        <v>2103</v>
      </c>
      <c r="D1607" s="17">
        <v>701.8</v>
      </c>
      <c r="E1607" s="18" t="s">
        <v>10</v>
      </c>
      <c r="F1607" s="39"/>
      <c r="G1607" s="28">
        <f t="shared" si="74"/>
        <v>0</v>
      </c>
    </row>
    <row r="1608" spans="2:7" ht="41.4" outlineLevel="3" x14ac:dyDescent="0.3">
      <c r="B1608" s="44">
        <v>3.08</v>
      </c>
      <c r="C1608" s="38" t="s">
        <v>2104</v>
      </c>
      <c r="D1608" s="17">
        <v>20.96</v>
      </c>
      <c r="E1608" s="18" t="s">
        <v>10</v>
      </c>
      <c r="F1608" s="39"/>
      <c r="G1608" s="28">
        <f t="shared" si="74"/>
        <v>0</v>
      </c>
    </row>
    <row r="1609" spans="2:7" ht="41.4" outlineLevel="3" x14ac:dyDescent="0.3">
      <c r="B1609" s="44">
        <v>3.09</v>
      </c>
      <c r="C1609" s="38" t="s">
        <v>2105</v>
      </c>
      <c r="D1609" s="17">
        <v>29</v>
      </c>
      <c r="E1609" s="18" t="s">
        <v>28</v>
      </c>
      <c r="F1609" s="39"/>
      <c r="G1609" s="28">
        <f t="shared" si="74"/>
        <v>0</v>
      </c>
    </row>
    <row r="1610" spans="2:7" ht="41.4" outlineLevel="3" x14ac:dyDescent="0.3">
      <c r="B1610" s="44">
        <v>3.1</v>
      </c>
      <c r="C1610" s="38" t="s">
        <v>2106</v>
      </c>
      <c r="D1610" s="17">
        <v>230.72</v>
      </c>
      <c r="E1610" s="18" t="s">
        <v>28</v>
      </c>
      <c r="F1610" s="39"/>
      <c r="G1610" s="28">
        <f t="shared" si="74"/>
        <v>0</v>
      </c>
    </row>
    <row r="1611" spans="2:7" ht="69" outlineLevel="3" x14ac:dyDescent="0.3">
      <c r="B1611" s="44">
        <v>3.11</v>
      </c>
      <c r="C1611" s="38" t="s">
        <v>2107</v>
      </c>
      <c r="D1611" s="17">
        <v>461.36</v>
      </c>
      <c r="E1611" s="18" t="s">
        <v>10</v>
      </c>
      <c r="F1611" s="39"/>
      <c r="G1611" s="28">
        <f t="shared" si="74"/>
        <v>0</v>
      </c>
    </row>
    <row r="1612" spans="2:7" ht="41.4" outlineLevel="3" x14ac:dyDescent="0.3">
      <c r="B1612" s="44">
        <v>3.12</v>
      </c>
      <c r="C1612" s="38" t="s">
        <v>2108</v>
      </c>
      <c r="D1612" s="17">
        <v>28.03</v>
      </c>
      <c r="E1612" s="18" t="s">
        <v>10</v>
      </c>
      <c r="F1612" s="39"/>
      <c r="G1612" s="28">
        <f t="shared" si="74"/>
        <v>0</v>
      </c>
    </row>
    <row r="1613" spans="2:7" ht="41.4" outlineLevel="3" x14ac:dyDescent="0.3">
      <c r="B1613" s="44">
        <v>3.13</v>
      </c>
      <c r="C1613" s="38" t="s">
        <v>2109</v>
      </c>
      <c r="D1613" s="17">
        <v>211.4</v>
      </c>
      <c r="E1613" s="18" t="s">
        <v>10</v>
      </c>
      <c r="F1613" s="39"/>
      <c r="G1613" s="28">
        <f t="shared" si="74"/>
        <v>0</v>
      </c>
    </row>
    <row r="1614" spans="2:7" ht="41.4" outlineLevel="3" x14ac:dyDescent="0.3">
      <c r="B1614" s="44">
        <v>3.14</v>
      </c>
      <c r="C1614" s="38" t="s">
        <v>2110</v>
      </c>
      <c r="D1614" s="17">
        <v>7.35</v>
      </c>
      <c r="E1614" s="18" t="s">
        <v>10</v>
      </c>
      <c r="F1614" s="39"/>
      <c r="G1614" s="28">
        <f t="shared" si="74"/>
        <v>0</v>
      </c>
    </row>
    <row r="1615" spans="2:7" ht="41.4" outlineLevel="3" x14ac:dyDescent="0.3">
      <c r="B1615" s="44">
        <v>3.15</v>
      </c>
      <c r="C1615" s="38" t="s">
        <v>2111</v>
      </c>
      <c r="D1615" s="17">
        <v>88.9</v>
      </c>
      <c r="E1615" s="18" t="s">
        <v>10</v>
      </c>
      <c r="F1615" s="39"/>
      <c r="G1615" s="28">
        <f t="shared" si="74"/>
        <v>0</v>
      </c>
    </row>
    <row r="1616" spans="2:7" ht="27.6" outlineLevel="3" x14ac:dyDescent="0.3">
      <c r="B1616" s="44">
        <v>3.16</v>
      </c>
      <c r="C1616" s="38" t="s">
        <v>2112</v>
      </c>
      <c r="D1616" s="17">
        <v>17.86</v>
      </c>
      <c r="E1616" s="18" t="s">
        <v>10</v>
      </c>
      <c r="F1616" s="39"/>
      <c r="G1616" s="28">
        <f t="shared" si="74"/>
        <v>0</v>
      </c>
    </row>
    <row r="1617" spans="2:7" ht="41.4" outlineLevel="3" x14ac:dyDescent="0.3">
      <c r="B1617" s="44">
        <v>3.17</v>
      </c>
      <c r="C1617" s="38" t="s">
        <v>2113</v>
      </c>
      <c r="D1617" s="17">
        <v>86.4</v>
      </c>
      <c r="E1617" s="18" t="s">
        <v>28</v>
      </c>
      <c r="F1617" s="39"/>
      <c r="G1617" s="28">
        <f t="shared" si="74"/>
        <v>0</v>
      </c>
    </row>
    <row r="1618" spans="2:7" ht="41.4" outlineLevel="3" x14ac:dyDescent="0.3">
      <c r="B1618" s="44">
        <v>3.18</v>
      </c>
      <c r="C1618" s="38" t="s">
        <v>2114</v>
      </c>
      <c r="D1618" s="17">
        <v>105.6</v>
      </c>
      <c r="E1618" s="18" t="s">
        <v>28</v>
      </c>
      <c r="F1618" s="39"/>
      <c r="G1618" s="28">
        <f t="shared" si="74"/>
        <v>0</v>
      </c>
    </row>
    <row r="1619" spans="2:7" ht="41.4" outlineLevel="3" x14ac:dyDescent="0.3">
      <c r="B1619" s="44">
        <v>3.19</v>
      </c>
      <c r="C1619" s="38" t="s">
        <v>2115</v>
      </c>
      <c r="D1619" s="17">
        <v>17.899999999999999</v>
      </c>
      <c r="E1619" s="18" t="s">
        <v>10</v>
      </c>
      <c r="F1619" s="39"/>
      <c r="G1619" s="28">
        <f t="shared" si="74"/>
        <v>0</v>
      </c>
    </row>
    <row r="1620" spans="2:7" ht="55.2" outlineLevel="3" x14ac:dyDescent="0.3">
      <c r="B1620" s="44">
        <v>3.2</v>
      </c>
      <c r="C1620" s="38" t="s">
        <v>2116</v>
      </c>
      <c r="D1620" s="17">
        <v>94.4</v>
      </c>
      <c r="E1620" s="18" t="s">
        <v>28</v>
      </c>
      <c r="F1620" s="39"/>
      <c r="G1620" s="28">
        <f t="shared" si="74"/>
        <v>0</v>
      </c>
    </row>
    <row r="1621" spans="2:7" ht="55.2" outlineLevel="3" x14ac:dyDescent="0.3">
      <c r="B1621" s="44">
        <v>3.21</v>
      </c>
      <c r="C1621" s="38" t="s">
        <v>2117</v>
      </c>
      <c r="D1621" s="17">
        <v>103.84</v>
      </c>
      <c r="E1621" s="18" t="s">
        <v>28</v>
      </c>
      <c r="F1621" s="39"/>
      <c r="G1621" s="28">
        <f t="shared" si="74"/>
        <v>0</v>
      </c>
    </row>
    <row r="1622" spans="2:7" ht="55.2" outlineLevel="3" x14ac:dyDescent="0.3">
      <c r="B1622" s="44">
        <v>3.22</v>
      </c>
      <c r="C1622" s="38" t="s">
        <v>2118</v>
      </c>
      <c r="D1622" s="17">
        <v>16.95</v>
      </c>
      <c r="E1622" s="18" t="s">
        <v>10</v>
      </c>
      <c r="F1622" s="39"/>
      <c r="G1622" s="28">
        <f t="shared" si="74"/>
        <v>0</v>
      </c>
    </row>
    <row r="1623" spans="2:7" ht="27.6" outlineLevel="3" x14ac:dyDescent="0.3">
      <c r="B1623" s="44">
        <v>3.23</v>
      </c>
      <c r="C1623" s="38" t="s">
        <v>2119</v>
      </c>
      <c r="D1623" s="17">
        <v>33.44</v>
      </c>
      <c r="E1623" s="18" t="s">
        <v>28</v>
      </c>
      <c r="F1623" s="39"/>
      <c r="G1623" s="28">
        <f t="shared" si="74"/>
        <v>0</v>
      </c>
    </row>
    <row r="1624" spans="2:7" ht="27.6" outlineLevel="3" x14ac:dyDescent="0.3">
      <c r="B1624" s="44">
        <v>3.24</v>
      </c>
      <c r="C1624" s="38" t="s">
        <v>2120</v>
      </c>
      <c r="D1624" s="17">
        <v>85.48</v>
      </c>
      <c r="E1624" s="18" t="s">
        <v>28</v>
      </c>
      <c r="F1624" s="39"/>
      <c r="G1624" s="28">
        <f t="shared" si="74"/>
        <v>0</v>
      </c>
    </row>
    <row r="1625" spans="2:7" ht="27.6" outlineLevel="3" x14ac:dyDescent="0.3">
      <c r="B1625" s="44">
        <v>3.25</v>
      </c>
      <c r="C1625" s="38" t="s">
        <v>2121</v>
      </c>
      <c r="D1625" s="17">
        <v>38.4</v>
      </c>
      <c r="E1625" s="18" t="s">
        <v>28</v>
      </c>
      <c r="F1625" s="39"/>
      <c r="G1625" s="28">
        <f t="shared" si="74"/>
        <v>0</v>
      </c>
    </row>
    <row r="1626" spans="2:7" ht="27.6" outlineLevel="3" x14ac:dyDescent="0.3">
      <c r="B1626" s="44">
        <v>3.26</v>
      </c>
      <c r="C1626" s="38" t="s">
        <v>2122</v>
      </c>
      <c r="D1626" s="17">
        <v>34.799999999999997</v>
      </c>
      <c r="E1626" s="18" t="s">
        <v>28</v>
      </c>
      <c r="F1626" s="39"/>
      <c r="G1626" s="28">
        <f t="shared" si="74"/>
        <v>0</v>
      </c>
    </row>
    <row r="1627" spans="2:7" outlineLevel="3" x14ac:dyDescent="0.3">
      <c r="B1627" s="44">
        <v>3.27</v>
      </c>
      <c r="C1627" s="38" t="s">
        <v>2123</v>
      </c>
      <c r="D1627" s="17">
        <v>1681.04</v>
      </c>
      <c r="E1627" s="18" t="s">
        <v>10</v>
      </c>
      <c r="F1627" s="39"/>
      <c r="G1627" s="28">
        <f t="shared" si="74"/>
        <v>0</v>
      </c>
    </row>
    <row r="1628" spans="2:7" outlineLevel="3" x14ac:dyDescent="0.3">
      <c r="B1628" s="44">
        <v>3.28</v>
      </c>
      <c r="C1628" s="38" t="s">
        <v>2124</v>
      </c>
      <c r="D1628" s="17">
        <v>633.73</v>
      </c>
      <c r="E1628" s="18" t="s">
        <v>10</v>
      </c>
      <c r="F1628" s="39"/>
      <c r="G1628" s="28">
        <f t="shared" si="74"/>
        <v>0</v>
      </c>
    </row>
    <row r="1629" spans="2:7" ht="41.4" outlineLevel="3" x14ac:dyDescent="0.3">
      <c r="B1629" s="44">
        <v>3.29</v>
      </c>
      <c r="C1629" s="38" t="s">
        <v>2125</v>
      </c>
      <c r="D1629" s="17">
        <v>1484.49</v>
      </c>
      <c r="E1629" s="18" t="s">
        <v>10</v>
      </c>
      <c r="F1629" s="39"/>
      <c r="G1629" s="28">
        <f t="shared" si="74"/>
        <v>0</v>
      </c>
    </row>
    <row r="1630" spans="2:7" ht="27.6" outlineLevel="3" x14ac:dyDescent="0.3">
      <c r="B1630" s="44">
        <v>3.3</v>
      </c>
      <c r="C1630" s="38" t="s">
        <v>2272</v>
      </c>
      <c r="D1630" s="17">
        <v>408</v>
      </c>
      <c r="E1630" s="18" t="s">
        <v>10</v>
      </c>
      <c r="F1630" s="39"/>
      <c r="G1630" s="28">
        <f t="shared" si="74"/>
        <v>0</v>
      </c>
    </row>
    <row r="1631" spans="2:7" ht="27.6" outlineLevel="3" x14ac:dyDescent="0.3">
      <c r="B1631" s="44">
        <v>3.31</v>
      </c>
      <c r="C1631" s="38" t="s">
        <v>2126</v>
      </c>
      <c r="D1631" s="17">
        <v>303.10000000000002</v>
      </c>
      <c r="E1631" s="18" t="s">
        <v>10</v>
      </c>
      <c r="F1631" s="39"/>
      <c r="G1631" s="28">
        <f t="shared" si="74"/>
        <v>0</v>
      </c>
    </row>
    <row r="1632" spans="2:7" outlineLevel="3" x14ac:dyDescent="0.3">
      <c r="B1632" s="44">
        <v>3.31</v>
      </c>
      <c r="C1632" s="38" t="s">
        <v>2127</v>
      </c>
      <c r="D1632" s="17">
        <v>21</v>
      </c>
      <c r="E1632" s="18" t="s">
        <v>945</v>
      </c>
      <c r="F1632" s="39"/>
      <c r="G1632" s="28">
        <f t="shared" si="74"/>
        <v>0</v>
      </c>
    </row>
    <row r="1633" spans="2:7" outlineLevel="3" x14ac:dyDescent="0.3">
      <c r="B1633" s="44">
        <v>3.32</v>
      </c>
      <c r="C1633" s="38" t="s">
        <v>2128</v>
      </c>
      <c r="D1633" s="17">
        <v>1</v>
      </c>
      <c r="E1633" s="18" t="s">
        <v>945</v>
      </c>
      <c r="F1633" s="39"/>
      <c r="G1633" s="28">
        <f t="shared" si="74"/>
        <v>0</v>
      </c>
    </row>
    <row r="1634" spans="2:7" outlineLevel="3" x14ac:dyDescent="0.3">
      <c r="B1634" s="44">
        <v>3.33</v>
      </c>
      <c r="C1634" s="38" t="s">
        <v>2129</v>
      </c>
      <c r="D1634" s="17">
        <v>1</v>
      </c>
      <c r="E1634" s="18" t="s">
        <v>945</v>
      </c>
      <c r="F1634" s="39"/>
      <c r="G1634" s="28">
        <f t="shared" si="74"/>
        <v>0</v>
      </c>
    </row>
    <row r="1635" spans="2:7" outlineLevel="3" x14ac:dyDescent="0.3">
      <c r="B1635" s="44">
        <v>3.34</v>
      </c>
      <c r="C1635" s="38" t="s">
        <v>2130</v>
      </c>
      <c r="D1635" s="17">
        <v>8</v>
      </c>
      <c r="E1635" s="18" t="s">
        <v>945</v>
      </c>
      <c r="F1635" s="39"/>
      <c r="G1635" s="28">
        <f t="shared" si="74"/>
        <v>0</v>
      </c>
    </row>
    <row r="1636" spans="2:7" outlineLevel="3" x14ac:dyDescent="0.3">
      <c r="B1636" s="44">
        <v>3.35</v>
      </c>
      <c r="C1636" s="38" t="s">
        <v>2041</v>
      </c>
      <c r="D1636" s="17">
        <v>23</v>
      </c>
      <c r="E1636" s="18" t="s">
        <v>945</v>
      </c>
      <c r="F1636" s="39"/>
      <c r="G1636" s="28">
        <f t="shared" si="74"/>
        <v>0</v>
      </c>
    </row>
    <row r="1637" spans="2:7" ht="55.2" outlineLevel="3" x14ac:dyDescent="0.3">
      <c r="B1637" s="44">
        <v>3.36</v>
      </c>
      <c r="C1637" s="38" t="s">
        <v>2131</v>
      </c>
      <c r="D1637" s="17">
        <v>10</v>
      </c>
      <c r="E1637" s="18" t="s">
        <v>945</v>
      </c>
      <c r="F1637" s="39"/>
      <c r="G1637" s="28">
        <f t="shared" si="74"/>
        <v>0</v>
      </c>
    </row>
    <row r="1638" spans="2:7" ht="27.6" outlineLevel="3" x14ac:dyDescent="0.3">
      <c r="B1638" s="44">
        <v>3.37</v>
      </c>
      <c r="C1638" s="38" t="s">
        <v>2044</v>
      </c>
      <c r="D1638" s="17">
        <v>10</v>
      </c>
      <c r="E1638" s="18" t="s">
        <v>945</v>
      </c>
      <c r="F1638" s="39"/>
      <c r="G1638" s="28">
        <f t="shared" si="74"/>
        <v>0</v>
      </c>
    </row>
    <row r="1639" spans="2:7" ht="41.4" outlineLevel="3" x14ac:dyDescent="0.3">
      <c r="B1639" s="44">
        <v>3.38</v>
      </c>
      <c r="C1639" s="38" t="s">
        <v>2132</v>
      </c>
      <c r="D1639" s="17">
        <v>10</v>
      </c>
      <c r="E1639" s="18" t="s">
        <v>945</v>
      </c>
      <c r="F1639" s="39"/>
      <c r="G1639" s="28">
        <f t="shared" si="74"/>
        <v>0</v>
      </c>
    </row>
    <row r="1640" spans="2:7" ht="27.6" outlineLevel="3" x14ac:dyDescent="0.3">
      <c r="B1640" s="44">
        <v>3.39</v>
      </c>
      <c r="C1640" s="38" t="s">
        <v>2133</v>
      </c>
      <c r="D1640" s="17">
        <v>76.540000000000006</v>
      </c>
      <c r="E1640" s="18" t="s">
        <v>10</v>
      </c>
      <c r="F1640" s="39"/>
      <c r="G1640" s="28">
        <f t="shared" si="74"/>
        <v>0</v>
      </c>
    </row>
    <row r="1641" spans="2:7" ht="27.6" outlineLevel="3" x14ac:dyDescent="0.3">
      <c r="B1641" s="44">
        <v>3.4</v>
      </c>
      <c r="C1641" s="38" t="s">
        <v>2134</v>
      </c>
      <c r="D1641" s="17">
        <v>27</v>
      </c>
      <c r="E1641" s="18" t="s">
        <v>581</v>
      </c>
      <c r="F1641" s="39"/>
      <c r="G1641" s="28">
        <f t="shared" si="74"/>
        <v>0</v>
      </c>
    </row>
    <row r="1642" spans="2:7" ht="55.2" outlineLevel="3" x14ac:dyDescent="0.3">
      <c r="B1642" s="44" t="s">
        <v>2135</v>
      </c>
      <c r="C1642" s="38" t="s">
        <v>2136</v>
      </c>
      <c r="D1642" s="17">
        <v>4.34</v>
      </c>
      <c r="E1642" s="18" t="s">
        <v>10</v>
      </c>
      <c r="F1642" s="39"/>
      <c r="G1642" s="28">
        <f t="shared" si="74"/>
        <v>0</v>
      </c>
    </row>
    <row r="1643" spans="2:7" outlineLevel="3" x14ac:dyDescent="0.3">
      <c r="B1643" s="44" t="s">
        <v>2137</v>
      </c>
      <c r="C1643" s="38" t="s">
        <v>2138</v>
      </c>
      <c r="D1643" s="17">
        <v>1</v>
      </c>
      <c r="E1643" s="18" t="s">
        <v>2042</v>
      </c>
      <c r="F1643" s="39"/>
      <c r="G1643" s="28">
        <f t="shared" si="74"/>
        <v>0</v>
      </c>
    </row>
    <row r="1644" spans="2:7" outlineLevel="3" x14ac:dyDescent="0.3">
      <c r="B1644" s="44" t="s">
        <v>2139</v>
      </c>
      <c r="C1644" s="38" t="s">
        <v>2086</v>
      </c>
      <c r="D1644" s="17">
        <v>3</v>
      </c>
      <c r="E1644" s="18" t="s">
        <v>2042</v>
      </c>
      <c r="F1644" s="39"/>
      <c r="G1644" s="28">
        <f t="shared" si="74"/>
        <v>0</v>
      </c>
    </row>
    <row r="1645" spans="2:7" ht="69" outlineLevel="3" x14ac:dyDescent="0.3">
      <c r="B1645" s="44" t="s">
        <v>2140</v>
      </c>
      <c r="C1645" s="38" t="s">
        <v>2141</v>
      </c>
      <c r="D1645" s="17">
        <v>2.02</v>
      </c>
      <c r="E1645" s="18" t="s">
        <v>10</v>
      </c>
      <c r="F1645" s="39"/>
      <c r="G1645" s="28">
        <f t="shared" si="74"/>
        <v>0</v>
      </c>
    </row>
    <row r="1646" spans="2:7" outlineLevel="3" x14ac:dyDescent="0.3">
      <c r="B1646" s="44" t="s">
        <v>2142</v>
      </c>
      <c r="C1646" s="38" t="s">
        <v>2143</v>
      </c>
      <c r="D1646" s="17">
        <v>1</v>
      </c>
      <c r="E1646" s="18" t="s">
        <v>2042</v>
      </c>
      <c r="F1646" s="39"/>
      <c r="G1646" s="28">
        <f t="shared" si="74"/>
        <v>0</v>
      </c>
    </row>
    <row r="1647" spans="2:7" outlineLevel="3" x14ac:dyDescent="0.3">
      <c r="B1647" s="44" t="s">
        <v>2144</v>
      </c>
      <c r="C1647" s="38" t="s">
        <v>2086</v>
      </c>
      <c r="D1647" s="17">
        <v>1</v>
      </c>
      <c r="E1647" s="18" t="s">
        <v>2042</v>
      </c>
      <c r="F1647" s="39"/>
      <c r="G1647" s="28">
        <f t="shared" si="74"/>
        <v>0</v>
      </c>
    </row>
    <row r="1648" spans="2:7" ht="69" outlineLevel="3" x14ac:dyDescent="0.3">
      <c r="B1648" s="44" t="s">
        <v>2145</v>
      </c>
      <c r="C1648" s="38" t="s">
        <v>2146</v>
      </c>
      <c r="D1648" s="17">
        <v>23.76</v>
      </c>
      <c r="E1648" s="18" t="s">
        <v>10</v>
      </c>
      <c r="F1648" s="39"/>
      <c r="G1648" s="28">
        <f t="shared" si="74"/>
        <v>0</v>
      </c>
    </row>
    <row r="1649" spans="2:8" ht="55.2" outlineLevel="3" x14ac:dyDescent="0.3">
      <c r="B1649" s="44" t="s">
        <v>2147</v>
      </c>
      <c r="C1649" s="38" t="s">
        <v>2148</v>
      </c>
      <c r="D1649" s="17">
        <v>9.75</v>
      </c>
      <c r="E1649" s="18" t="s">
        <v>10</v>
      </c>
      <c r="F1649" s="39"/>
      <c r="G1649" s="28">
        <f t="shared" si="74"/>
        <v>0</v>
      </c>
    </row>
    <row r="1650" spans="2:8" ht="55.2" outlineLevel="3" x14ac:dyDescent="0.3">
      <c r="B1650" s="44" t="s">
        <v>2149</v>
      </c>
      <c r="C1650" s="38" t="s">
        <v>2150</v>
      </c>
      <c r="D1650" s="17">
        <v>11.43</v>
      </c>
      <c r="E1650" s="18" t="s">
        <v>10</v>
      </c>
      <c r="F1650" s="39"/>
      <c r="G1650" s="28">
        <f t="shared" si="74"/>
        <v>0</v>
      </c>
    </row>
    <row r="1651" spans="2:8" outlineLevel="3" x14ac:dyDescent="0.3">
      <c r="B1651" s="44" t="s">
        <v>2151</v>
      </c>
      <c r="C1651" s="38" t="s">
        <v>2152</v>
      </c>
      <c r="D1651" s="17">
        <v>16</v>
      </c>
      <c r="E1651" s="18" t="s">
        <v>2042</v>
      </c>
      <c r="F1651" s="39"/>
      <c r="G1651" s="28">
        <f t="shared" si="74"/>
        <v>0</v>
      </c>
    </row>
    <row r="1652" spans="2:8" outlineLevel="3" x14ac:dyDescent="0.3">
      <c r="B1652" s="44" t="s">
        <v>2153</v>
      </c>
      <c r="C1652" s="38" t="s">
        <v>2086</v>
      </c>
      <c r="D1652" s="17">
        <v>24</v>
      </c>
      <c r="E1652" s="18" t="s">
        <v>2042</v>
      </c>
      <c r="F1652" s="39"/>
      <c r="G1652" s="28">
        <f t="shared" si="74"/>
        <v>0</v>
      </c>
    </row>
    <row r="1653" spans="2:8" ht="41.4" outlineLevel="3" x14ac:dyDescent="0.3">
      <c r="B1653" s="44">
        <v>3.44</v>
      </c>
      <c r="C1653" s="38" t="s">
        <v>2154</v>
      </c>
      <c r="D1653" s="17">
        <v>15.25</v>
      </c>
      <c r="E1653" s="18" t="s">
        <v>947</v>
      </c>
      <c r="F1653" s="39"/>
      <c r="G1653" s="28">
        <f t="shared" si="74"/>
        <v>0</v>
      </c>
    </row>
    <row r="1654" spans="2:8" ht="41.4" outlineLevel="3" x14ac:dyDescent="0.3">
      <c r="B1654" s="44">
        <v>3.45</v>
      </c>
      <c r="C1654" s="38" t="s">
        <v>2155</v>
      </c>
      <c r="D1654" s="17">
        <v>7.68</v>
      </c>
      <c r="E1654" s="18" t="s">
        <v>10</v>
      </c>
      <c r="F1654" s="39"/>
      <c r="G1654" s="28">
        <f t="shared" si="74"/>
        <v>0</v>
      </c>
    </row>
    <row r="1655" spans="2:8" ht="41.4" outlineLevel="3" x14ac:dyDescent="0.3">
      <c r="B1655" s="44">
        <v>3.46</v>
      </c>
      <c r="C1655" s="38" t="s">
        <v>2156</v>
      </c>
      <c r="D1655" s="17">
        <v>6.99</v>
      </c>
      <c r="E1655" s="18" t="s">
        <v>2265</v>
      </c>
      <c r="F1655" s="39"/>
      <c r="G1655" s="28">
        <f t="shared" si="74"/>
        <v>0</v>
      </c>
      <c r="H1655" s="122"/>
    </row>
    <row r="1656" spans="2:8" ht="41.4" outlineLevel="3" x14ac:dyDescent="0.3">
      <c r="B1656" s="44">
        <v>3.47</v>
      </c>
      <c r="C1656" s="38" t="s">
        <v>2154</v>
      </c>
      <c r="D1656" s="17">
        <v>26.24</v>
      </c>
      <c r="E1656" s="18" t="s">
        <v>947</v>
      </c>
      <c r="F1656" s="39"/>
      <c r="G1656" s="28">
        <f t="shared" si="74"/>
        <v>0</v>
      </c>
    </row>
    <row r="1657" spans="2:8" ht="27.6" outlineLevel="3" x14ac:dyDescent="0.3">
      <c r="B1657" s="44">
        <v>3.48</v>
      </c>
      <c r="C1657" s="38" t="s">
        <v>2157</v>
      </c>
      <c r="D1657" s="17">
        <v>26.24</v>
      </c>
      <c r="E1657" s="18" t="s">
        <v>947</v>
      </c>
      <c r="F1657" s="39"/>
      <c r="G1657" s="28">
        <f t="shared" si="74"/>
        <v>0</v>
      </c>
    </row>
    <row r="1658" spans="2:8" ht="27.6" outlineLevel="3" x14ac:dyDescent="0.3">
      <c r="B1658" s="44">
        <v>3.49</v>
      </c>
      <c r="C1658" s="38" t="s">
        <v>2158</v>
      </c>
      <c r="D1658" s="17">
        <v>7.87</v>
      </c>
      <c r="E1658" s="18" t="s">
        <v>947</v>
      </c>
      <c r="F1658" s="39"/>
      <c r="G1658" s="28">
        <f t="shared" si="74"/>
        <v>0</v>
      </c>
    </row>
    <row r="1659" spans="2:8" ht="41.4" outlineLevel="3" x14ac:dyDescent="0.3">
      <c r="B1659" s="44">
        <v>3.5</v>
      </c>
      <c r="C1659" s="38" t="s">
        <v>2159</v>
      </c>
      <c r="D1659" s="17">
        <v>4.8</v>
      </c>
      <c r="E1659" s="18" t="s">
        <v>10</v>
      </c>
      <c r="F1659" s="39"/>
      <c r="G1659" s="28">
        <f t="shared" si="74"/>
        <v>0</v>
      </c>
    </row>
    <row r="1660" spans="2:8" ht="41.4" outlineLevel="3" x14ac:dyDescent="0.3">
      <c r="B1660" s="44">
        <v>3.51</v>
      </c>
      <c r="C1660" s="38" t="s">
        <v>2160</v>
      </c>
      <c r="D1660" s="17">
        <v>22.3</v>
      </c>
      <c r="E1660" s="18" t="s">
        <v>2161</v>
      </c>
      <c r="F1660" s="39"/>
      <c r="G1660" s="28">
        <f t="shared" si="74"/>
        <v>0</v>
      </c>
    </row>
    <row r="1661" spans="2:8" ht="41.4" outlineLevel="3" x14ac:dyDescent="0.3">
      <c r="B1661" s="44">
        <v>3.52</v>
      </c>
      <c r="C1661" s="38" t="s">
        <v>2162</v>
      </c>
      <c r="D1661" s="17">
        <v>4.08</v>
      </c>
      <c r="E1661" s="18" t="s">
        <v>10</v>
      </c>
      <c r="F1661" s="39"/>
      <c r="G1661" s="28">
        <f t="shared" si="74"/>
        <v>0</v>
      </c>
    </row>
    <row r="1662" spans="2:8" ht="27.6" outlineLevel="3" x14ac:dyDescent="0.3">
      <c r="B1662" s="44">
        <v>3.53</v>
      </c>
      <c r="C1662" s="38" t="s">
        <v>2163</v>
      </c>
      <c r="D1662" s="17">
        <v>537.38</v>
      </c>
      <c r="E1662" s="18" t="s">
        <v>10</v>
      </c>
      <c r="F1662" s="39"/>
      <c r="G1662" s="28">
        <f t="shared" si="74"/>
        <v>0</v>
      </c>
    </row>
    <row r="1663" spans="2:8" ht="27.6" outlineLevel="3" x14ac:dyDescent="0.3">
      <c r="B1663" s="44">
        <v>3.54</v>
      </c>
      <c r="C1663" s="38" t="s">
        <v>2164</v>
      </c>
      <c r="D1663" s="17">
        <v>12.81</v>
      </c>
      <c r="E1663" s="18" t="s">
        <v>10</v>
      </c>
      <c r="F1663" s="39"/>
      <c r="G1663" s="28">
        <f t="shared" si="74"/>
        <v>0</v>
      </c>
    </row>
    <row r="1664" spans="2:8" ht="41.4" outlineLevel="3" x14ac:dyDescent="0.3">
      <c r="B1664" s="44">
        <v>3.55</v>
      </c>
      <c r="C1664" s="38" t="s">
        <v>2165</v>
      </c>
      <c r="D1664" s="17">
        <v>56.14</v>
      </c>
      <c r="E1664" s="18" t="s">
        <v>10</v>
      </c>
      <c r="F1664" s="39"/>
      <c r="G1664" s="28">
        <f t="shared" si="74"/>
        <v>0</v>
      </c>
    </row>
    <row r="1665" spans="2:8" ht="110.4" outlineLevel="3" x14ac:dyDescent="0.3">
      <c r="B1665" s="44">
        <v>3.56</v>
      </c>
      <c r="C1665" s="38" t="s">
        <v>2166</v>
      </c>
      <c r="D1665" s="17">
        <v>3</v>
      </c>
      <c r="E1665" s="18" t="s">
        <v>948</v>
      </c>
      <c r="F1665" s="39"/>
      <c r="G1665" s="28">
        <f t="shared" ref="G1665:G1686" si="75">ROUNDUP(D1665*F1665,2)</f>
        <v>0</v>
      </c>
    </row>
    <row r="1666" spans="2:8" outlineLevel="3" x14ac:dyDescent="0.3">
      <c r="B1666" s="44">
        <v>3.57</v>
      </c>
      <c r="C1666" s="38" t="s">
        <v>2290</v>
      </c>
      <c r="D1666" s="17">
        <v>6</v>
      </c>
      <c r="E1666" s="18" t="s">
        <v>2289</v>
      </c>
      <c r="F1666" s="39"/>
      <c r="G1666" s="28">
        <f t="shared" si="75"/>
        <v>0</v>
      </c>
      <c r="H1666" s="122"/>
    </row>
    <row r="1667" spans="2:8" ht="110.4" outlineLevel="3" x14ac:dyDescent="0.3">
      <c r="B1667" s="44">
        <v>3.58</v>
      </c>
      <c r="C1667" s="38" t="s">
        <v>2167</v>
      </c>
      <c r="D1667" s="17">
        <v>91.4</v>
      </c>
      <c r="E1667" s="18" t="s">
        <v>2265</v>
      </c>
      <c r="F1667" s="39"/>
      <c r="G1667" s="28">
        <f t="shared" si="75"/>
        <v>0</v>
      </c>
      <c r="H1667" s="122"/>
    </row>
    <row r="1668" spans="2:8" outlineLevel="3" x14ac:dyDescent="0.3">
      <c r="B1668" s="44">
        <v>3.59</v>
      </c>
      <c r="C1668" s="38" t="s">
        <v>2168</v>
      </c>
      <c r="D1668" s="17">
        <v>26</v>
      </c>
      <c r="E1668" s="18" t="s">
        <v>2265</v>
      </c>
      <c r="F1668" s="39"/>
      <c r="G1668" s="28">
        <f t="shared" si="75"/>
        <v>0</v>
      </c>
      <c r="H1668" s="122"/>
    </row>
    <row r="1669" spans="2:8" ht="96.6" outlineLevel="3" x14ac:dyDescent="0.3">
      <c r="B1669" s="44">
        <v>3.6</v>
      </c>
      <c r="C1669" s="38" t="s">
        <v>2169</v>
      </c>
      <c r="D1669" s="17">
        <v>1</v>
      </c>
      <c r="E1669" s="18" t="s">
        <v>581</v>
      </c>
      <c r="F1669" s="39"/>
      <c r="G1669" s="28">
        <f t="shared" si="75"/>
        <v>0</v>
      </c>
      <c r="H1669" s="122"/>
    </row>
    <row r="1670" spans="2:8" outlineLevel="3" x14ac:dyDescent="0.3">
      <c r="B1670" s="44" t="s">
        <v>2170</v>
      </c>
      <c r="C1670" s="38" t="s">
        <v>2171</v>
      </c>
      <c r="D1670" s="17">
        <v>1.35</v>
      </c>
      <c r="E1670" s="18" t="s">
        <v>13</v>
      </c>
      <c r="F1670" s="39"/>
      <c r="G1670" s="28">
        <f t="shared" si="75"/>
        <v>0</v>
      </c>
    </row>
    <row r="1671" spans="2:8" outlineLevel="3" x14ac:dyDescent="0.3">
      <c r="B1671" s="44" t="s">
        <v>2172</v>
      </c>
      <c r="C1671" s="38" t="s">
        <v>2173</v>
      </c>
      <c r="D1671" s="17">
        <v>1.35</v>
      </c>
      <c r="E1671" s="18" t="s">
        <v>13</v>
      </c>
      <c r="F1671" s="39"/>
      <c r="G1671" s="28">
        <f t="shared" si="75"/>
        <v>0</v>
      </c>
    </row>
    <row r="1672" spans="2:8" outlineLevel="3" x14ac:dyDescent="0.3">
      <c r="B1672" s="44" t="s">
        <v>2174</v>
      </c>
      <c r="C1672" s="38" t="s">
        <v>2175</v>
      </c>
      <c r="D1672" s="17">
        <v>0.61</v>
      </c>
      <c r="E1672" s="18" t="s">
        <v>13</v>
      </c>
      <c r="F1672" s="39"/>
      <c r="G1672" s="28">
        <f t="shared" si="75"/>
        <v>0</v>
      </c>
    </row>
    <row r="1673" spans="2:8" ht="27.6" outlineLevel="3" x14ac:dyDescent="0.3">
      <c r="B1673" s="44" t="s">
        <v>2176</v>
      </c>
      <c r="C1673" s="38" t="s">
        <v>2177</v>
      </c>
      <c r="D1673" s="17">
        <v>3</v>
      </c>
      <c r="E1673" s="18" t="s">
        <v>2178</v>
      </c>
      <c r="F1673" s="39"/>
      <c r="G1673" s="28">
        <f t="shared" si="75"/>
        <v>0</v>
      </c>
    </row>
    <row r="1674" spans="2:8" outlineLevel="3" x14ac:dyDescent="0.3">
      <c r="B1674" s="44" t="s">
        <v>2179</v>
      </c>
      <c r="C1674" s="38" t="s">
        <v>2180</v>
      </c>
      <c r="D1674" s="17">
        <v>9</v>
      </c>
      <c r="E1674" s="18" t="s">
        <v>10</v>
      </c>
      <c r="F1674" s="39"/>
      <c r="G1674" s="28">
        <f t="shared" si="75"/>
        <v>0</v>
      </c>
    </row>
    <row r="1675" spans="2:8" outlineLevel="3" x14ac:dyDescent="0.3">
      <c r="B1675" s="44" t="s">
        <v>2181</v>
      </c>
      <c r="C1675" s="38" t="s">
        <v>2182</v>
      </c>
      <c r="D1675" s="17">
        <v>9</v>
      </c>
      <c r="E1675" s="18" t="s">
        <v>10</v>
      </c>
      <c r="F1675" s="39"/>
      <c r="G1675" s="28">
        <f t="shared" si="75"/>
        <v>0</v>
      </c>
    </row>
    <row r="1676" spans="2:8" ht="27.6" outlineLevel="3" x14ac:dyDescent="0.3">
      <c r="B1676" s="44">
        <v>3.62</v>
      </c>
      <c r="C1676" s="38" t="s">
        <v>2183</v>
      </c>
      <c r="D1676" s="17">
        <v>3</v>
      </c>
      <c r="E1676" s="18" t="s">
        <v>581</v>
      </c>
      <c r="F1676" s="39"/>
      <c r="G1676" s="28">
        <f t="shared" si="75"/>
        <v>0</v>
      </c>
      <c r="H1676" s="122"/>
    </row>
    <row r="1677" spans="2:8" outlineLevel="3" x14ac:dyDescent="0.3">
      <c r="B1677" s="44" t="s">
        <v>2184</v>
      </c>
      <c r="C1677" s="38" t="s">
        <v>2171</v>
      </c>
      <c r="D1677" s="17">
        <v>2.19</v>
      </c>
      <c r="E1677" s="18" t="s">
        <v>13</v>
      </c>
      <c r="F1677" s="39"/>
      <c r="G1677" s="28">
        <f t="shared" si="75"/>
        <v>0</v>
      </c>
    </row>
    <row r="1678" spans="2:8" outlineLevel="3" x14ac:dyDescent="0.3">
      <c r="B1678" s="44" t="s">
        <v>2185</v>
      </c>
      <c r="C1678" s="38" t="s">
        <v>2173</v>
      </c>
      <c r="D1678" s="17">
        <v>2.19</v>
      </c>
      <c r="E1678" s="18" t="s">
        <v>13</v>
      </c>
      <c r="F1678" s="39"/>
      <c r="G1678" s="28">
        <f t="shared" si="75"/>
        <v>0</v>
      </c>
    </row>
    <row r="1679" spans="2:8" outlineLevel="3" x14ac:dyDescent="0.3">
      <c r="B1679" s="44" t="s">
        <v>2186</v>
      </c>
      <c r="C1679" s="38" t="s">
        <v>2175</v>
      </c>
      <c r="D1679" s="17">
        <v>0.84</v>
      </c>
      <c r="E1679" s="18" t="s">
        <v>10</v>
      </c>
      <c r="F1679" s="39"/>
      <c r="G1679" s="28">
        <f t="shared" si="75"/>
        <v>0</v>
      </c>
    </row>
    <row r="1680" spans="2:8" outlineLevel="3" x14ac:dyDescent="0.3">
      <c r="B1680" s="44" t="s">
        <v>2187</v>
      </c>
      <c r="C1680" s="38" t="s">
        <v>2188</v>
      </c>
      <c r="D1680" s="17">
        <v>3</v>
      </c>
      <c r="E1680" s="18" t="s">
        <v>581</v>
      </c>
      <c r="F1680" s="39"/>
      <c r="G1680" s="28">
        <f t="shared" si="75"/>
        <v>0</v>
      </c>
      <c r="H1680" s="122"/>
    </row>
    <row r="1681" spans="2:8" outlineLevel="3" x14ac:dyDescent="0.3">
      <c r="B1681" s="44" t="s">
        <v>2189</v>
      </c>
      <c r="C1681" s="38" t="s">
        <v>2180</v>
      </c>
      <c r="D1681" s="17">
        <v>9</v>
      </c>
      <c r="E1681" s="18" t="s">
        <v>10</v>
      </c>
      <c r="F1681" s="39"/>
      <c r="G1681" s="28">
        <f t="shared" si="75"/>
        <v>0</v>
      </c>
    </row>
    <row r="1682" spans="2:8" outlineLevel="3" x14ac:dyDescent="0.3">
      <c r="B1682" s="44" t="s">
        <v>2189</v>
      </c>
      <c r="C1682" s="38" t="s">
        <v>2182</v>
      </c>
      <c r="D1682" s="17">
        <v>9</v>
      </c>
      <c r="E1682" s="18" t="s">
        <v>10</v>
      </c>
      <c r="F1682" s="39"/>
      <c r="G1682" s="28">
        <f t="shared" si="75"/>
        <v>0</v>
      </c>
    </row>
    <row r="1683" spans="2:8" ht="41.4" outlineLevel="3" x14ac:dyDescent="0.3">
      <c r="B1683" s="44">
        <v>3.63</v>
      </c>
      <c r="C1683" s="38" t="s">
        <v>2190</v>
      </c>
      <c r="D1683" s="17">
        <v>1</v>
      </c>
      <c r="E1683" s="18" t="s">
        <v>581</v>
      </c>
      <c r="F1683" s="39"/>
      <c r="G1683" s="28">
        <f t="shared" si="75"/>
        <v>0</v>
      </c>
      <c r="H1683" s="122"/>
    </row>
    <row r="1684" spans="2:8" ht="110.4" outlineLevel="3" x14ac:dyDescent="0.3">
      <c r="B1684" s="44">
        <v>3.64</v>
      </c>
      <c r="C1684" s="38" t="s">
        <v>2191</v>
      </c>
      <c r="D1684" s="17">
        <v>452.72</v>
      </c>
      <c r="E1684" s="18" t="s">
        <v>10</v>
      </c>
      <c r="F1684" s="39"/>
      <c r="G1684" s="28">
        <f t="shared" si="75"/>
        <v>0</v>
      </c>
    </row>
    <row r="1685" spans="2:8" outlineLevel="3" x14ac:dyDescent="0.3">
      <c r="B1685" s="44">
        <v>3.65</v>
      </c>
      <c r="C1685" s="38" t="s">
        <v>2192</v>
      </c>
      <c r="D1685" s="17">
        <v>4</v>
      </c>
      <c r="E1685" s="18" t="s">
        <v>2193</v>
      </c>
      <c r="F1685" s="39"/>
      <c r="G1685" s="28">
        <f t="shared" si="75"/>
        <v>0</v>
      </c>
    </row>
    <row r="1686" spans="2:8" ht="27.6" outlineLevel="3" x14ac:dyDescent="0.3">
      <c r="B1686" s="44">
        <v>3.66</v>
      </c>
      <c r="C1686" s="38" t="s">
        <v>2194</v>
      </c>
      <c r="D1686" s="17">
        <v>1</v>
      </c>
      <c r="E1686" s="18" t="s">
        <v>581</v>
      </c>
      <c r="F1686" s="39"/>
      <c r="G1686" s="28">
        <f t="shared" si="75"/>
        <v>0</v>
      </c>
      <c r="H1686" s="122"/>
    </row>
    <row r="1687" spans="2:8" outlineLevel="3" x14ac:dyDescent="0.3">
      <c r="B1687" s="44"/>
      <c r="C1687" s="38"/>
      <c r="D1687" s="17"/>
      <c r="E1687" s="18"/>
      <c r="F1687" s="39"/>
      <c r="G1687" s="20"/>
    </row>
    <row r="1688" spans="2:8" outlineLevel="2" x14ac:dyDescent="0.3">
      <c r="B1688" s="29" t="s">
        <v>2238</v>
      </c>
      <c r="C1688" s="16" t="s">
        <v>1906</v>
      </c>
      <c r="D1688" s="17"/>
      <c r="E1688" s="18"/>
      <c r="F1688" s="19"/>
      <c r="G1688" s="20">
        <f>SUBTOTAL(9,G1689:G1740)</f>
        <v>0</v>
      </c>
    </row>
    <row r="1689" spans="2:8" ht="55.2" outlineLevel="3" x14ac:dyDescent="0.3">
      <c r="B1689" s="44">
        <v>4</v>
      </c>
      <c r="C1689" s="38" t="s">
        <v>2195</v>
      </c>
      <c r="D1689" s="17">
        <v>39.409999999999997</v>
      </c>
      <c r="E1689" s="18" t="s">
        <v>10</v>
      </c>
      <c r="F1689" s="39"/>
      <c r="G1689" s="28">
        <f t="shared" ref="G1689:G1739" si="76">ROUNDUP(D1689*F1689,2)</f>
        <v>0</v>
      </c>
    </row>
    <row r="1690" spans="2:8" ht="55.2" outlineLevel="3" x14ac:dyDescent="0.3">
      <c r="B1690" s="44">
        <v>4.01</v>
      </c>
      <c r="C1690" s="38" t="s">
        <v>2196</v>
      </c>
      <c r="D1690" s="17">
        <v>179.51</v>
      </c>
      <c r="E1690" s="18" t="s">
        <v>10</v>
      </c>
      <c r="F1690" s="39"/>
      <c r="G1690" s="28">
        <f t="shared" si="76"/>
        <v>0</v>
      </c>
    </row>
    <row r="1691" spans="2:8" ht="41.4" outlineLevel="3" x14ac:dyDescent="0.3">
      <c r="B1691" s="44">
        <v>4.0199999999999996</v>
      </c>
      <c r="C1691" s="38" t="s">
        <v>2104</v>
      </c>
      <c r="D1691" s="17">
        <v>8.58</v>
      </c>
      <c r="E1691" s="18" t="s">
        <v>10</v>
      </c>
      <c r="F1691" s="39"/>
      <c r="G1691" s="28">
        <f t="shared" si="76"/>
        <v>0</v>
      </c>
    </row>
    <row r="1692" spans="2:8" ht="41.4" outlineLevel="3" x14ac:dyDescent="0.3">
      <c r="B1692" s="44">
        <v>4.03</v>
      </c>
      <c r="C1692" s="38" t="s">
        <v>2197</v>
      </c>
      <c r="D1692" s="17">
        <v>7.25</v>
      </c>
      <c r="E1692" s="18" t="s">
        <v>28</v>
      </c>
      <c r="F1692" s="39"/>
      <c r="G1692" s="28">
        <f t="shared" si="76"/>
        <v>0</v>
      </c>
    </row>
    <row r="1693" spans="2:8" ht="41.4" outlineLevel="3" x14ac:dyDescent="0.3">
      <c r="B1693" s="44">
        <v>4.04</v>
      </c>
      <c r="C1693" s="38" t="s">
        <v>2198</v>
      </c>
      <c r="D1693" s="17">
        <v>55.88</v>
      </c>
      <c r="E1693" s="18" t="s">
        <v>28</v>
      </c>
      <c r="F1693" s="39"/>
      <c r="G1693" s="28">
        <f t="shared" si="76"/>
        <v>0</v>
      </c>
    </row>
    <row r="1694" spans="2:8" ht="69" outlineLevel="3" x14ac:dyDescent="0.3">
      <c r="B1694" s="44">
        <v>4.05</v>
      </c>
      <c r="C1694" s="38" t="s">
        <v>2199</v>
      </c>
      <c r="D1694" s="17">
        <v>103.7</v>
      </c>
      <c r="E1694" s="18" t="s">
        <v>10</v>
      </c>
      <c r="F1694" s="39"/>
      <c r="G1694" s="28">
        <f t="shared" si="76"/>
        <v>0</v>
      </c>
    </row>
    <row r="1695" spans="2:8" ht="41.4" outlineLevel="3" x14ac:dyDescent="0.3">
      <c r="B1695" s="44">
        <v>4.0599999999999996</v>
      </c>
      <c r="C1695" s="38" t="s">
        <v>2111</v>
      </c>
      <c r="D1695" s="17">
        <v>22.22</v>
      </c>
      <c r="E1695" s="18" t="s">
        <v>10</v>
      </c>
      <c r="F1695" s="39"/>
      <c r="G1695" s="28">
        <f t="shared" si="76"/>
        <v>0</v>
      </c>
    </row>
    <row r="1696" spans="2:8" ht="41.4" outlineLevel="3" x14ac:dyDescent="0.3">
      <c r="B1696" s="44">
        <v>4.07</v>
      </c>
      <c r="C1696" s="38" t="s">
        <v>2200</v>
      </c>
      <c r="D1696" s="17">
        <v>42.28</v>
      </c>
      <c r="E1696" s="18" t="s">
        <v>10</v>
      </c>
      <c r="F1696" s="39"/>
      <c r="G1696" s="28">
        <f t="shared" si="76"/>
        <v>0</v>
      </c>
    </row>
    <row r="1697" spans="2:7" ht="41.4" outlineLevel="3" x14ac:dyDescent="0.3">
      <c r="B1697" s="44">
        <v>4.08</v>
      </c>
      <c r="C1697" s="38" t="s">
        <v>2030</v>
      </c>
      <c r="D1697" s="17">
        <v>2.94</v>
      </c>
      <c r="E1697" s="18" t="s">
        <v>10</v>
      </c>
      <c r="F1697" s="39"/>
      <c r="G1697" s="28">
        <f t="shared" si="76"/>
        <v>0</v>
      </c>
    </row>
    <row r="1698" spans="2:7" ht="41.4" outlineLevel="3" x14ac:dyDescent="0.3">
      <c r="B1698" s="44">
        <v>4.09</v>
      </c>
      <c r="C1698" s="38" t="s">
        <v>2201</v>
      </c>
      <c r="D1698" s="17">
        <v>21.6</v>
      </c>
      <c r="E1698" s="18" t="s">
        <v>28</v>
      </c>
      <c r="F1698" s="39"/>
      <c r="G1698" s="28">
        <f t="shared" si="76"/>
        <v>0</v>
      </c>
    </row>
    <row r="1699" spans="2:7" ht="41.4" outlineLevel="3" x14ac:dyDescent="0.3">
      <c r="B1699" s="44">
        <v>4.0999999999999996</v>
      </c>
      <c r="C1699" s="38" t="s">
        <v>2202</v>
      </c>
      <c r="D1699" s="17">
        <v>26.4</v>
      </c>
      <c r="E1699" s="18" t="s">
        <v>28</v>
      </c>
      <c r="F1699" s="39"/>
      <c r="G1699" s="28">
        <f t="shared" si="76"/>
        <v>0</v>
      </c>
    </row>
    <row r="1700" spans="2:7" ht="41.4" outlineLevel="3" x14ac:dyDescent="0.3">
      <c r="B1700" s="44">
        <v>4.1100000000000003</v>
      </c>
      <c r="C1700" s="38" t="s">
        <v>2071</v>
      </c>
      <c r="D1700" s="17">
        <v>4.4800000000000004</v>
      </c>
      <c r="E1700" s="18" t="s">
        <v>10</v>
      </c>
      <c r="F1700" s="39"/>
      <c r="G1700" s="28">
        <f t="shared" si="76"/>
        <v>0</v>
      </c>
    </row>
    <row r="1701" spans="2:7" ht="55.2" outlineLevel="3" x14ac:dyDescent="0.3">
      <c r="B1701" s="44">
        <v>4.12</v>
      </c>
      <c r="C1701" s="38" t="s">
        <v>2203</v>
      </c>
      <c r="D1701" s="17">
        <v>23.6</v>
      </c>
      <c r="E1701" s="18" t="s">
        <v>28</v>
      </c>
      <c r="F1701" s="39"/>
      <c r="G1701" s="28">
        <f t="shared" si="76"/>
        <v>0</v>
      </c>
    </row>
    <row r="1702" spans="2:7" ht="55.2" outlineLevel="3" x14ac:dyDescent="0.3">
      <c r="B1702" s="44">
        <v>4.13</v>
      </c>
      <c r="C1702" s="38" t="s">
        <v>2204</v>
      </c>
      <c r="D1702" s="17">
        <v>25.96</v>
      </c>
      <c r="E1702" s="18" t="s">
        <v>28</v>
      </c>
      <c r="F1702" s="39"/>
      <c r="G1702" s="28">
        <f t="shared" si="76"/>
        <v>0</v>
      </c>
    </row>
    <row r="1703" spans="2:7" ht="55.2" outlineLevel="3" x14ac:dyDescent="0.3">
      <c r="B1703" s="44">
        <v>4.1399999999999997</v>
      </c>
      <c r="C1703" s="38" t="s">
        <v>2118</v>
      </c>
      <c r="D1703" s="17">
        <v>4.24</v>
      </c>
      <c r="E1703" s="18" t="s">
        <v>10</v>
      </c>
      <c r="F1703" s="39"/>
      <c r="G1703" s="28">
        <f t="shared" si="76"/>
        <v>0</v>
      </c>
    </row>
    <row r="1704" spans="2:7" ht="27.6" outlineLevel="3" x14ac:dyDescent="0.3">
      <c r="B1704" s="44">
        <v>4.1500000000000004</v>
      </c>
      <c r="C1704" s="38" t="s">
        <v>2205</v>
      </c>
      <c r="D1704" s="17">
        <v>8.36</v>
      </c>
      <c r="E1704" s="18" t="s">
        <v>28</v>
      </c>
      <c r="F1704" s="39"/>
      <c r="G1704" s="28">
        <f t="shared" si="76"/>
        <v>0</v>
      </c>
    </row>
    <row r="1705" spans="2:7" ht="27.6" outlineLevel="3" x14ac:dyDescent="0.3">
      <c r="B1705" s="44">
        <v>4.16</v>
      </c>
      <c r="C1705" s="38" t="s">
        <v>2206</v>
      </c>
      <c r="D1705" s="17">
        <v>18.02</v>
      </c>
      <c r="E1705" s="18" t="s">
        <v>28</v>
      </c>
      <c r="F1705" s="39"/>
      <c r="G1705" s="28">
        <f t="shared" si="76"/>
        <v>0</v>
      </c>
    </row>
    <row r="1706" spans="2:7" ht="27.6" outlineLevel="3" x14ac:dyDescent="0.3">
      <c r="B1706" s="44">
        <v>4.17</v>
      </c>
      <c r="C1706" s="38" t="s">
        <v>2035</v>
      </c>
      <c r="D1706" s="17">
        <v>9.6</v>
      </c>
      <c r="E1706" s="18" t="s">
        <v>28</v>
      </c>
      <c r="F1706" s="39"/>
      <c r="G1706" s="28">
        <f t="shared" si="76"/>
        <v>0</v>
      </c>
    </row>
    <row r="1707" spans="2:7" ht="27.6" outlineLevel="3" x14ac:dyDescent="0.3">
      <c r="B1707" s="44">
        <v>4.18</v>
      </c>
      <c r="C1707" s="38" t="s">
        <v>2207</v>
      </c>
      <c r="D1707" s="17">
        <v>8.6999999999999993</v>
      </c>
      <c r="E1707" s="18" t="s">
        <v>28</v>
      </c>
      <c r="F1707" s="39"/>
      <c r="G1707" s="28">
        <f t="shared" si="76"/>
        <v>0</v>
      </c>
    </row>
    <row r="1708" spans="2:7" outlineLevel="3" x14ac:dyDescent="0.3">
      <c r="B1708" s="44">
        <v>4.1900000000000004</v>
      </c>
      <c r="C1708" s="38" t="s">
        <v>2123</v>
      </c>
      <c r="D1708" s="17">
        <v>294.31</v>
      </c>
      <c r="E1708" s="18" t="s">
        <v>10</v>
      </c>
      <c r="F1708" s="39"/>
      <c r="G1708" s="28">
        <f t="shared" si="76"/>
        <v>0</v>
      </c>
    </row>
    <row r="1709" spans="2:7" outlineLevel="3" x14ac:dyDescent="0.3">
      <c r="B1709" s="44">
        <v>4.2</v>
      </c>
      <c r="C1709" s="38" t="s">
        <v>2124</v>
      </c>
      <c r="D1709" s="17">
        <v>543.99</v>
      </c>
      <c r="E1709" s="18" t="s">
        <v>10</v>
      </c>
      <c r="F1709" s="39"/>
      <c r="G1709" s="28">
        <f t="shared" si="76"/>
        <v>0</v>
      </c>
    </row>
    <row r="1710" spans="2:7" outlineLevel="3" x14ac:dyDescent="0.3">
      <c r="B1710" s="44">
        <v>4.21</v>
      </c>
      <c r="C1710" s="38" t="s">
        <v>2208</v>
      </c>
      <c r="D1710" s="17">
        <v>4</v>
      </c>
      <c r="E1710" s="18" t="s">
        <v>945</v>
      </c>
      <c r="F1710" s="39"/>
      <c r="G1710" s="28">
        <f t="shared" si="76"/>
        <v>0</v>
      </c>
    </row>
    <row r="1711" spans="2:7" outlineLevel="3" x14ac:dyDescent="0.3">
      <c r="B1711" s="44">
        <v>4.22</v>
      </c>
      <c r="C1711" s="38" t="s">
        <v>2209</v>
      </c>
      <c r="D1711" s="17">
        <v>2</v>
      </c>
      <c r="E1711" s="18" t="s">
        <v>945</v>
      </c>
      <c r="F1711" s="39"/>
      <c r="G1711" s="28">
        <f t="shared" si="76"/>
        <v>0</v>
      </c>
    </row>
    <row r="1712" spans="2:7" outlineLevel="3" x14ac:dyDescent="0.3">
      <c r="B1712" s="44">
        <v>4.2300000000000004</v>
      </c>
      <c r="C1712" s="38" t="s">
        <v>2210</v>
      </c>
      <c r="D1712" s="17">
        <v>1</v>
      </c>
      <c r="E1712" s="18" t="s">
        <v>945</v>
      </c>
      <c r="F1712" s="39"/>
      <c r="G1712" s="28">
        <f t="shared" si="76"/>
        <v>0</v>
      </c>
    </row>
    <row r="1713" spans="2:7" outlineLevel="3" x14ac:dyDescent="0.3">
      <c r="B1713" s="44">
        <v>4.24</v>
      </c>
      <c r="C1713" s="38" t="s">
        <v>2041</v>
      </c>
      <c r="D1713" s="17">
        <v>6</v>
      </c>
      <c r="E1713" s="18" t="s">
        <v>945</v>
      </c>
      <c r="F1713" s="39"/>
      <c r="G1713" s="28">
        <f t="shared" si="76"/>
        <v>0</v>
      </c>
    </row>
    <row r="1714" spans="2:7" ht="41.4" outlineLevel="3" x14ac:dyDescent="0.3">
      <c r="B1714" s="44">
        <v>4.25</v>
      </c>
      <c r="C1714" s="38" t="s">
        <v>2211</v>
      </c>
      <c r="D1714" s="17">
        <v>3</v>
      </c>
      <c r="E1714" s="18" t="s">
        <v>945</v>
      </c>
      <c r="F1714" s="39"/>
      <c r="G1714" s="28">
        <f t="shared" si="76"/>
        <v>0</v>
      </c>
    </row>
    <row r="1715" spans="2:7" ht="27.6" outlineLevel="3" x14ac:dyDescent="0.3">
      <c r="B1715" s="44">
        <v>4.26</v>
      </c>
      <c r="C1715" s="38" t="s">
        <v>2044</v>
      </c>
      <c r="D1715" s="17">
        <v>3</v>
      </c>
      <c r="E1715" s="18" t="s">
        <v>945</v>
      </c>
      <c r="F1715" s="39"/>
      <c r="G1715" s="28">
        <f t="shared" si="76"/>
        <v>0</v>
      </c>
    </row>
    <row r="1716" spans="2:7" ht="41.4" outlineLevel="3" x14ac:dyDescent="0.3">
      <c r="B1716" s="44">
        <v>4.2699999999999996</v>
      </c>
      <c r="C1716" s="38" t="s">
        <v>2212</v>
      </c>
      <c r="D1716" s="17">
        <v>2</v>
      </c>
      <c r="E1716" s="18" t="s">
        <v>945</v>
      </c>
      <c r="F1716" s="39"/>
      <c r="G1716" s="28">
        <f t="shared" si="76"/>
        <v>0</v>
      </c>
    </row>
    <row r="1717" spans="2:7" ht="55.2" outlineLevel="3" x14ac:dyDescent="0.3">
      <c r="B1717" s="44">
        <v>4.28</v>
      </c>
      <c r="C1717" s="38" t="s">
        <v>2213</v>
      </c>
      <c r="D1717" s="17">
        <v>1</v>
      </c>
      <c r="E1717" s="18" t="s">
        <v>945</v>
      </c>
      <c r="F1717" s="39"/>
      <c r="G1717" s="28">
        <f t="shared" si="76"/>
        <v>0</v>
      </c>
    </row>
    <row r="1718" spans="2:7" ht="27.6" outlineLevel="3" x14ac:dyDescent="0.3">
      <c r="B1718" s="44">
        <v>4.28</v>
      </c>
      <c r="C1718" s="38" t="s">
        <v>2214</v>
      </c>
      <c r="D1718" s="17">
        <v>19.14</v>
      </c>
      <c r="E1718" s="18" t="s">
        <v>10</v>
      </c>
      <c r="F1718" s="39"/>
      <c r="G1718" s="28">
        <f t="shared" si="76"/>
        <v>0</v>
      </c>
    </row>
    <row r="1719" spans="2:7" ht="27.6" outlineLevel="3" x14ac:dyDescent="0.3">
      <c r="B1719" s="44">
        <v>4.29</v>
      </c>
      <c r="C1719" s="38" t="s">
        <v>2046</v>
      </c>
      <c r="D1719" s="17">
        <v>7</v>
      </c>
      <c r="E1719" s="18" t="s">
        <v>581</v>
      </c>
      <c r="F1719" s="39"/>
      <c r="G1719" s="28">
        <f t="shared" si="76"/>
        <v>0</v>
      </c>
    </row>
    <row r="1720" spans="2:7" ht="69" outlineLevel="3" x14ac:dyDescent="0.3">
      <c r="B1720" s="44" t="s">
        <v>2215</v>
      </c>
      <c r="C1720" s="38" t="s">
        <v>2216</v>
      </c>
      <c r="D1720" s="17">
        <v>5.94</v>
      </c>
      <c r="E1720" s="18" t="s">
        <v>10</v>
      </c>
      <c r="F1720" s="39"/>
      <c r="G1720" s="28">
        <f t="shared" si="76"/>
        <v>0</v>
      </c>
    </row>
    <row r="1721" spans="2:7" ht="55.2" outlineLevel="3" x14ac:dyDescent="0.3">
      <c r="B1721" s="44" t="s">
        <v>2217</v>
      </c>
      <c r="C1721" s="38" t="s">
        <v>2218</v>
      </c>
      <c r="D1721" s="17">
        <v>2.44</v>
      </c>
      <c r="E1721" s="18" t="s">
        <v>10</v>
      </c>
      <c r="F1721" s="39"/>
      <c r="G1721" s="28">
        <f t="shared" si="76"/>
        <v>0</v>
      </c>
    </row>
    <row r="1722" spans="2:7" ht="55.2" outlineLevel="3" x14ac:dyDescent="0.3">
      <c r="B1722" s="44" t="s">
        <v>2219</v>
      </c>
      <c r="C1722" s="38" t="s">
        <v>2220</v>
      </c>
      <c r="D1722" s="17">
        <v>2.86</v>
      </c>
      <c r="E1722" s="18" t="s">
        <v>10</v>
      </c>
      <c r="F1722" s="39"/>
      <c r="G1722" s="28">
        <f t="shared" si="76"/>
        <v>0</v>
      </c>
    </row>
    <row r="1723" spans="2:7" outlineLevel="3" x14ac:dyDescent="0.3">
      <c r="B1723" s="44" t="s">
        <v>2221</v>
      </c>
      <c r="C1723" s="38" t="s">
        <v>2152</v>
      </c>
      <c r="D1723" s="17">
        <v>4</v>
      </c>
      <c r="E1723" s="18" t="s">
        <v>945</v>
      </c>
      <c r="F1723" s="39"/>
      <c r="G1723" s="28">
        <f t="shared" si="76"/>
        <v>0</v>
      </c>
    </row>
    <row r="1724" spans="2:7" outlineLevel="3" x14ac:dyDescent="0.3">
      <c r="B1724" s="44" t="s">
        <v>2222</v>
      </c>
      <c r="C1724" s="38" t="s">
        <v>2052</v>
      </c>
      <c r="D1724" s="17">
        <v>6</v>
      </c>
      <c r="E1724" s="18" t="s">
        <v>945</v>
      </c>
      <c r="F1724" s="39"/>
      <c r="G1724" s="28">
        <f t="shared" si="76"/>
        <v>0</v>
      </c>
    </row>
    <row r="1725" spans="2:7" ht="55.2" outlineLevel="3" x14ac:dyDescent="0.3">
      <c r="B1725" s="44" t="s">
        <v>2223</v>
      </c>
      <c r="C1725" s="38" t="s">
        <v>2224</v>
      </c>
      <c r="D1725" s="17">
        <v>2.0499999999999998</v>
      </c>
      <c r="E1725" s="18" t="s">
        <v>10</v>
      </c>
      <c r="F1725" s="39"/>
      <c r="G1725" s="28">
        <f t="shared" si="76"/>
        <v>0</v>
      </c>
    </row>
    <row r="1726" spans="2:7" outlineLevel="3" x14ac:dyDescent="0.3">
      <c r="B1726" s="44" t="s">
        <v>2225</v>
      </c>
      <c r="C1726" s="38" t="s">
        <v>2226</v>
      </c>
      <c r="D1726" s="17">
        <v>1</v>
      </c>
      <c r="E1726" s="18" t="s">
        <v>945</v>
      </c>
      <c r="F1726" s="39"/>
      <c r="G1726" s="28">
        <f t="shared" si="76"/>
        <v>0</v>
      </c>
    </row>
    <row r="1727" spans="2:7" outlineLevel="3" x14ac:dyDescent="0.3">
      <c r="B1727" s="44" t="s">
        <v>2227</v>
      </c>
      <c r="C1727" s="38" t="s">
        <v>2052</v>
      </c>
      <c r="D1727" s="17">
        <v>1</v>
      </c>
      <c r="E1727" s="18" t="s">
        <v>945</v>
      </c>
      <c r="F1727" s="39"/>
      <c r="G1727" s="28">
        <f t="shared" si="76"/>
        <v>0</v>
      </c>
    </row>
    <row r="1728" spans="2:7" ht="41.4" outlineLevel="3" x14ac:dyDescent="0.3">
      <c r="B1728" s="44">
        <v>4.32</v>
      </c>
      <c r="C1728" s="38" t="s">
        <v>2228</v>
      </c>
      <c r="D1728" s="17">
        <v>6.56</v>
      </c>
      <c r="E1728" s="18" t="s">
        <v>947</v>
      </c>
      <c r="F1728" s="39"/>
      <c r="G1728" s="28">
        <f t="shared" si="76"/>
        <v>0</v>
      </c>
    </row>
    <row r="1729" spans="2:7" ht="27.6" outlineLevel="3" x14ac:dyDescent="0.3">
      <c r="B1729" s="44">
        <v>4.33</v>
      </c>
      <c r="C1729" s="38" t="s">
        <v>2229</v>
      </c>
      <c r="D1729" s="17">
        <v>6.56</v>
      </c>
      <c r="E1729" s="18" t="s">
        <v>947</v>
      </c>
      <c r="F1729" s="39"/>
      <c r="G1729" s="28">
        <f t="shared" si="76"/>
        <v>0</v>
      </c>
    </row>
    <row r="1730" spans="2:7" ht="27.6" outlineLevel="3" x14ac:dyDescent="0.3">
      <c r="B1730" s="44">
        <v>4.34</v>
      </c>
      <c r="C1730" s="38" t="s">
        <v>2230</v>
      </c>
      <c r="D1730" s="17">
        <v>1.97</v>
      </c>
      <c r="E1730" s="18" t="s">
        <v>947</v>
      </c>
      <c r="F1730" s="39"/>
      <c r="G1730" s="28">
        <f t="shared" si="76"/>
        <v>0</v>
      </c>
    </row>
    <row r="1731" spans="2:7" ht="41.4" outlineLevel="3" x14ac:dyDescent="0.3">
      <c r="B1731" s="44">
        <v>4.3499999999999996</v>
      </c>
      <c r="C1731" s="38" t="s">
        <v>2159</v>
      </c>
      <c r="D1731" s="17">
        <v>1.2</v>
      </c>
      <c r="E1731" s="18" t="s">
        <v>10</v>
      </c>
      <c r="F1731" s="39"/>
      <c r="G1731" s="28">
        <f t="shared" si="76"/>
        <v>0</v>
      </c>
    </row>
    <row r="1732" spans="2:7" ht="41.4" outlineLevel="3" x14ac:dyDescent="0.3">
      <c r="B1732" s="44">
        <v>4.3600000000000003</v>
      </c>
      <c r="C1732" s="38" t="s">
        <v>2231</v>
      </c>
      <c r="D1732" s="17">
        <v>10.33</v>
      </c>
      <c r="E1732" s="18" t="s">
        <v>947</v>
      </c>
      <c r="F1732" s="39"/>
      <c r="G1732" s="28">
        <f t="shared" si="76"/>
        <v>0</v>
      </c>
    </row>
    <row r="1733" spans="2:7" ht="27.6" outlineLevel="3" x14ac:dyDescent="0.3">
      <c r="B1733" s="44">
        <v>4.37</v>
      </c>
      <c r="C1733" s="38" t="s">
        <v>2229</v>
      </c>
      <c r="D1733" s="17">
        <v>10.33</v>
      </c>
      <c r="E1733" s="18" t="s">
        <v>947</v>
      </c>
      <c r="F1733" s="39"/>
      <c r="G1733" s="28">
        <f t="shared" si="76"/>
        <v>0</v>
      </c>
    </row>
    <row r="1734" spans="2:7" ht="27.6" outlineLevel="3" x14ac:dyDescent="0.3">
      <c r="B1734" s="44">
        <v>4.38</v>
      </c>
      <c r="C1734" s="38" t="s">
        <v>2230</v>
      </c>
      <c r="D1734" s="17">
        <v>1.97</v>
      </c>
      <c r="E1734" s="18" t="s">
        <v>947</v>
      </c>
      <c r="F1734" s="39"/>
      <c r="G1734" s="28">
        <f t="shared" si="76"/>
        <v>0</v>
      </c>
    </row>
    <row r="1735" spans="2:7" ht="41.4" outlineLevel="3" x14ac:dyDescent="0.3">
      <c r="B1735" s="44">
        <v>4.3899999999999997</v>
      </c>
      <c r="C1735" s="38" t="s">
        <v>2232</v>
      </c>
      <c r="D1735" s="17">
        <v>1.89</v>
      </c>
      <c r="E1735" s="18" t="s">
        <v>10</v>
      </c>
      <c r="F1735" s="39"/>
      <c r="G1735" s="28">
        <f t="shared" si="76"/>
        <v>0</v>
      </c>
    </row>
    <row r="1736" spans="2:7" ht="27.6" outlineLevel="3" x14ac:dyDescent="0.3">
      <c r="B1736" s="44">
        <v>4.4000000000000004</v>
      </c>
      <c r="C1736" s="38" t="s">
        <v>2233</v>
      </c>
      <c r="D1736" s="17">
        <v>524.9</v>
      </c>
      <c r="E1736" s="18" t="s">
        <v>10</v>
      </c>
      <c r="F1736" s="39"/>
      <c r="G1736" s="28">
        <f t="shared" si="76"/>
        <v>0</v>
      </c>
    </row>
    <row r="1737" spans="2:7" ht="41.4" outlineLevel="3" x14ac:dyDescent="0.3">
      <c r="B1737" s="44">
        <v>4.41</v>
      </c>
      <c r="C1737" s="38" t="s">
        <v>2234</v>
      </c>
      <c r="D1737" s="17">
        <v>12.7</v>
      </c>
      <c r="E1737" s="18" t="s">
        <v>10</v>
      </c>
      <c r="F1737" s="39"/>
      <c r="G1737" s="28">
        <f t="shared" si="76"/>
        <v>0</v>
      </c>
    </row>
    <row r="1738" spans="2:7" ht="27.6" outlineLevel="3" x14ac:dyDescent="0.3">
      <c r="B1738" s="44">
        <v>4.43</v>
      </c>
      <c r="C1738" s="38" t="s">
        <v>2235</v>
      </c>
      <c r="D1738" s="17">
        <v>8.86</v>
      </c>
      <c r="E1738" s="18" t="s">
        <v>947</v>
      </c>
      <c r="F1738" s="39"/>
      <c r="G1738" s="28">
        <f t="shared" si="76"/>
        <v>0</v>
      </c>
    </row>
    <row r="1739" spans="2:7" ht="41.4" outlineLevel="3" x14ac:dyDescent="0.3">
      <c r="B1739" s="44" t="s">
        <v>2236</v>
      </c>
      <c r="C1739" s="38" t="s">
        <v>2237</v>
      </c>
      <c r="D1739" s="17">
        <v>2</v>
      </c>
      <c r="E1739" s="18" t="s">
        <v>10</v>
      </c>
      <c r="F1739" s="39"/>
      <c r="G1739" s="28">
        <f t="shared" si="76"/>
        <v>0</v>
      </c>
    </row>
    <row r="1740" spans="2:7" outlineLevel="3" x14ac:dyDescent="0.3">
      <c r="B1740" s="44"/>
      <c r="C1740" s="38"/>
      <c r="D1740" s="17"/>
      <c r="E1740" s="18"/>
      <c r="F1740" s="39"/>
      <c r="G1740" s="20"/>
    </row>
    <row r="1741" spans="2:7" outlineLevel="2" x14ac:dyDescent="0.3">
      <c r="B1741" s="29" t="s">
        <v>2239</v>
      </c>
      <c r="C1741" s="16" t="s">
        <v>2023</v>
      </c>
      <c r="D1741" s="17"/>
      <c r="E1741" s="18"/>
      <c r="F1741" s="19"/>
      <c r="G1741" s="20">
        <f>SUBTOTAL(9,G1742:G1790)</f>
        <v>0</v>
      </c>
    </row>
    <row r="1742" spans="2:7" ht="55.2" outlineLevel="3" x14ac:dyDescent="0.3">
      <c r="B1742" s="44">
        <v>5</v>
      </c>
      <c r="C1742" s="38" t="s">
        <v>2240</v>
      </c>
      <c r="D1742" s="17">
        <v>34.43</v>
      </c>
      <c r="E1742" s="18" t="s">
        <v>10</v>
      </c>
      <c r="F1742" s="39"/>
      <c r="G1742" s="28">
        <f t="shared" ref="G1742:G1788" si="77">ROUNDUP(D1742*F1742,2)</f>
        <v>0</v>
      </c>
    </row>
    <row r="1743" spans="2:7" ht="55.2" outlineLevel="3" x14ac:dyDescent="0.3">
      <c r="B1743" s="44">
        <v>5.01</v>
      </c>
      <c r="C1743" s="38" t="s">
        <v>2241</v>
      </c>
      <c r="D1743" s="17">
        <v>108.37</v>
      </c>
      <c r="E1743" s="18" t="s">
        <v>10</v>
      </c>
      <c r="F1743" s="39"/>
      <c r="G1743" s="28">
        <f t="shared" si="77"/>
        <v>0</v>
      </c>
    </row>
    <row r="1744" spans="2:7" ht="41.4" outlineLevel="3" x14ac:dyDescent="0.3">
      <c r="B1744" s="44">
        <v>5.0199999999999996</v>
      </c>
      <c r="C1744" s="38" t="s">
        <v>2104</v>
      </c>
      <c r="D1744" s="17">
        <v>4.46</v>
      </c>
      <c r="E1744" s="18" t="s">
        <v>10</v>
      </c>
      <c r="F1744" s="39"/>
      <c r="G1744" s="28">
        <f t="shared" si="77"/>
        <v>0</v>
      </c>
    </row>
    <row r="1745" spans="2:7" ht="41.4" outlineLevel="3" x14ac:dyDescent="0.3">
      <c r="B1745" s="44">
        <v>5.03</v>
      </c>
      <c r="C1745" s="38" t="s">
        <v>2242</v>
      </c>
      <c r="D1745" s="17">
        <v>484</v>
      </c>
      <c r="E1745" s="18" t="s">
        <v>10</v>
      </c>
      <c r="F1745" s="39"/>
      <c r="G1745" s="28">
        <f t="shared" si="77"/>
        <v>0</v>
      </c>
    </row>
    <row r="1746" spans="2:7" ht="41.4" outlineLevel="3" x14ac:dyDescent="0.3">
      <c r="B1746" s="44">
        <v>5.04</v>
      </c>
      <c r="C1746" s="38" t="s">
        <v>2243</v>
      </c>
      <c r="D1746" s="17">
        <v>51.3</v>
      </c>
      <c r="E1746" s="18" t="s">
        <v>28</v>
      </c>
      <c r="F1746" s="39"/>
      <c r="G1746" s="28">
        <f t="shared" si="77"/>
        <v>0</v>
      </c>
    </row>
    <row r="1747" spans="2:7" ht="69" outlineLevel="3" x14ac:dyDescent="0.3">
      <c r="B1747" s="44">
        <v>5.05</v>
      </c>
      <c r="C1747" s="38" t="s">
        <v>2244</v>
      </c>
      <c r="D1747" s="17">
        <v>99.09</v>
      </c>
      <c r="E1747" s="18" t="s">
        <v>10</v>
      </c>
      <c r="F1747" s="39"/>
      <c r="G1747" s="28">
        <f t="shared" si="77"/>
        <v>0</v>
      </c>
    </row>
    <row r="1748" spans="2:7" ht="41.4" outlineLevel="3" x14ac:dyDescent="0.3">
      <c r="B1748" s="44">
        <v>5.0599999999999996</v>
      </c>
      <c r="C1748" s="38" t="s">
        <v>2111</v>
      </c>
      <c r="D1748" s="17">
        <v>22.22</v>
      </c>
      <c r="E1748" s="18" t="s">
        <v>10</v>
      </c>
      <c r="F1748" s="39"/>
      <c r="G1748" s="28">
        <f t="shared" si="77"/>
        <v>0</v>
      </c>
    </row>
    <row r="1749" spans="2:7" ht="41.4" outlineLevel="3" x14ac:dyDescent="0.3">
      <c r="B1749" s="44">
        <v>5.07</v>
      </c>
      <c r="C1749" s="38" t="s">
        <v>2200</v>
      </c>
      <c r="D1749" s="17">
        <v>42.28</v>
      </c>
      <c r="E1749" s="18" t="s">
        <v>13</v>
      </c>
      <c r="F1749" s="39"/>
      <c r="G1749" s="28">
        <f t="shared" si="77"/>
        <v>0</v>
      </c>
    </row>
    <row r="1750" spans="2:7" ht="41.4" outlineLevel="3" x14ac:dyDescent="0.3">
      <c r="B1750" s="44">
        <v>5.08</v>
      </c>
      <c r="C1750" s="38" t="s">
        <v>2030</v>
      </c>
      <c r="D1750" s="17">
        <v>3.83</v>
      </c>
      <c r="E1750" s="18" t="s">
        <v>10</v>
      </c>
      <c r="F1750" s="39"/>
      <c r="G1750" s="28">
        <f t="shared" si="77"/>
        <v>0</v>
      </c>
    </row>
    <row r="1751" spans="2:7" ht="41.4" outlineLevel="3" x14ac:dyDescent="0.3">
      <c r="B1751" s="44">
        <v>5.09</v>
      </c>
      <c r="C1751" s="38" t="s">
        <v>2069</v>
      </c>
      <c r="D1751" s="17">
        <v>21.6</v>
      </c>
      <c r="E1751" s="18" t="s">
        <v>28</v>
      </c>
      <c r="F1751" s="39"/>
      <c r="G1751" s="28">
        <f t="shared" si="77"/>
        <v>0</v>
      </c>
    </row>
    <row r="1752" spans="2:7" ht="41.4" outlineLevel="3" x14ac:dyDescent="0.3">
      <c r="B1752" s="44">
        <v>5.0999999999999996</v>
      </c>
      <c r="C1752" s="38" t="s">
        <v>2245</v>
      </c>
      <c r="D1752" s="17">
        <v>26.4</v>
      </c>
      <c r="E1752" s="18" t="s">
        <v>28</v>
      </c>
      <c r="F1752" s="39"/>
      <c r="G1752" s="28">
        <f t="shared" si="77"/>
        <v>0</v>
      </c>
    </row>
    <row r="1753" spans="2:7" ht="41.4" outlineLevel="3" x14ac:dyDescent="0.3">
      <c r="B1753" s="44">
        <v>5.12</v>
      </c>
      <c r="C1753" s="38" t="s">
        <v>2071</v>
      </c>
      <c r="D1753" s="17">
        <v>4.4800000000000004</v>
      </c>
      <c r="E1753" s="18" t="s">
        <v>10</v>
      </c>
      <c r="F1753" s="39"/>
      <c r="G1753" s="28">
        <f t="shared" si="77"/>
        <v>0</v>
      </c>
    </row>
    <row r="1754" spans="2:7" ht="55.2" outlineLevel="3" x14ac:dyDescent="0.3">
      <c r="B1754" s="44">
        <v>5.12</v>
      </c>
      <c r="C1754" s="38" t="s">
        <v>2246</v>
      </c>
      <c r="D1754" s="17">
        <v>23.6</v>
      </c>
      <c r="E1754" s="18" t="s">
        <v>28</v>
      </c>
      <c r="F1754" s="39"/>
      <c r="G1754" s="28">
        <f t="shared" si="77"/>
        <v>0</v>
      </c>
    </row>
    <row r="1755" spans="2:7" ht="55.2" outlineLevel="3" x14ac:dyDescent="0.3">
      <c r="B1755" s="44">
        <v>5.13</v>
      </c>
      <c r="C1755" s="38" t="s">
        <v>2117</v>
      </c>
      <c r="D1755" s="17">
        <v>25.96</v>
      </c>
      <c r="E1755" s="18" t="s">
        <v>28</v>
      </c>
      <c r="F1755" s="39"/>
      <c r="G1755" s="28">
        <f t="shared" si="77"/>
        <v>0</v>
      </c>
    </row>
    <row r="1756" spans="2:7" ht="55.2" outlineLevel="3" x14ac:dyDescent="0.3">
      <c r="B1756" s="44">
        <v>5.14</v>
      </c>
      <c r="C1756" s="38" t="s">
        <v>2118</v>
      </c>
      <c r="D1756" s="17">
        <v>4.24</v>
      </c>
      <c r="E1756" s="18" t="s">
        <v>10</v>
      </c>
      <c r="F1756" s="39"/>
      <c r="G1756" s="28">
        <f t="shared" si="77"/>
        <v>0</v>
      </c>
    </row>
    <row r="1757" spans="2:7" ht="27.6" outlineLevel="3" x14ac:dyDescent="0.3">
      <c r="B1757" s="44">
        <v>5.15</v>
      </c>
      <c r="C1757" s="38" t="s">
        <v>2205</v>
      </c>
      <c r="D1757" s="17">
        <v>8.36</v>
      </c>
      <c r="E1757" s="18" t="s">
        <v>28</v>
      </c>
      <c r="F1757" s="39"/>
      <c r="G1757" s="28">
        <f t="shared" si="77"/>
        <v>0</v>
      </c>
    </row>
    <row r="1758" spans="2:7" ht="27.6" outlineLevel="3" x14ac:dyDescent="0.3">
      <c r="B1758" s="44">
        <v>5.16</v>
      </c>
      <c r="C1758" s="38" t="s">
        <v>2206</v>
      </c>
      <c r="D1758" s="17">
        <v>18.02</v>
      </c>
      <c r="E1758" s="18" t="s">
        <v>28</v>
      </c>
      <c r="F1758" s="39"/>
      <c r="G1758" s="28">
        <f t="shared" si="77"/>
        <v>0</v>
      </c>
    </row>
    <row r="1759" spans="2:7" ht="27.6" outlineLevel="3" x14ac:dyDescent="0.3">
      <c r="B1759" s="44">
        <v>5.17</v>
      </c>
      <c r="C1759" s="38" t="s">
        <v>2035</v>
      </c>
      <c r="D1759" s="17">
        <v>9.6</v>
      </c>
      <c r="E1759" s="18" t="s">
        <v>28</v>
      </c>
      <c r="F1759" s="39"/>
      <c r="G1759" s="28">
        <f t="shared" si="77"/>
        <v>0</v>
      </c>
    </row>
    <row r="1760" spans="2:7" ht="27.6" outlineLevel="3" x14ac:dyDescent="0.3">
      <c r="B1760" s="44">
        <v>5.18</v>
      </c>
      <c r="C1760" s="38" t="s">
        <v>2207</v>
      </c>
      <c r="D1760" s="17">
        <v>8.6999999999999993</v>
      </c>
      <c r="E1760" s="18" t="s">
        <v>28</v>
      </c>
      <c r="F1760" s="39"/>
      <c r="G1760" s="28">
        <f t="shared" si="77"/>
        <v>0</v>
      </c>
    </row>
    <row r="1761" spans="2:7" outlineLevel="3" x14ac:dyDescent="0.3">
      <c r="B1761" s="44">
        <v>5.19</v>
      </c>
      <c r="C1761" s="38" t="s">
        <v>2123</v>
      </c>
      <c r="D1761" s="17">
        <v>294.31</v>
      </c>
      <c r="E1761" s="18" t="s">
        <v>10</v>
      </c>
      <c r="F1761" s="39"/>
      <c r="G1761" s="28">
        <f t="shared" si="77"/>
        <v>0</v>
      </c>
    </row>
    <row r="1762" spans="2:7" outlineLevel="3" x14ac:dyDescent="0.3">
      <c r="B1762" s="44">
        <v>5.2</v>
      </c>
      <c r="C1762" s="38" t="s">
        <v>2124</v>
      </c>
      <c r="D1762" s="17">
        <v>543.99</v>
      </c>
      <c r="E1762" s="18" t="s">
        <v>10</v>
      </c>
      <c r="F1762" s="39"/>
      <c r="G1762" s="28">
        <f t="shared" si="77"/>
        <v>0</v>
      </c>
    </row>
    <row r="1763" spans="2:7" outlineLevel="3" x14ac:dyDescent="0.3">
      <c r="B1763" s="44">
        <v>5.21</v>
      </c>
      <c r="C1763" s="38" t="s">
        <v>2208</v>
      </c>
      <c r="D1763" s="17">
        <v>4</v>
      </c>
      <c r="E1763" s="18" t="s">
        <v>945</v>
      </c>
      <c r="F1763" s="39"/>
      <c r="G1763" s="28">
        <f t="shared" si="77"/>
        <v>0</v>
      </c>
    </row>
    <row r="1764" spans="2:7" outlineLevel="3" x14ac:dyDescent="0.3">
      <c r="B1764" s="44">
        <v>5.22</v>
      </c>
      <c r="C1764" s="38" t="s">
        <v>2209</v>
      </c>
      <c r="D1764" s="17">
        <v>2</v>
      </c>
      <c r="E1764" s="18" t="s">
        <v>945</v>
      </c>
      <c r="F1764" s="39"/>
      <c r="G1764" s="28">
        <f t="shared" si="77"/>
        <v>0</v>
      </c>
    </row>
    <row r="1765" spans="2:7" outlineLevel="3" x14ac:dyDescent="0.3">
      <c r="B1765" s="44">
        <v>5.23</v>
      </c>
      <c r="C1765" s="38" t="s">
        <v>2210</v>
      </c>
      <c r="D1765" s="17">
        <v>1</v>
      </c>
      <c r="E1765" s="18" t="s">
        <v>945</v>
      </c>
      <c r="F1765" s="39"/>
      <c r="G1765" s="28">
        <f t="shared" si="77"/>
        <v>0</v>
      </c>
    </row>
    <row r="1766" spans="2:7" outlineLevel="3" x14ac:dyDescent="0.3">
      <c r="B1766" s="44">
        <v>5.24</v>
      </c>
      <c r="C1766" s="38" t="s">
        <v>2041</v>
      </c>
      <c r="D1766" s="17">
        <v>6</v>
      </c>
      <c r="E1766" s="18" t="s">
        <v>945</v>
      </c>
      <c r="F1766" s="39"/>
      <c r="G1766" s="28">
        <f t="shared" si="77"/>
        <v>0</v>
      </c>
    </row>
    <row r="1767" spans="2:7" ht="41.4" outlineLevel="3" x14ac:dyDescent="0.3">
      <c r="B1767" s="44">
        <v>5.25</v>
      </c>
      <c r="C1767" s="38" t="s">
        <v>2211</v>
      </c>
      <c r="D1767" s="17">
        <v>3</v>
      </c>
      <c r="E1767" s="18" t="s">
        <v>945</v>
      </c>
      <c r="F1767" s="39"/>
      <c r="G1767" s="28">
        <f t="shared" si="77"/>
        <v>0</v>
      </c>
    </row>
    <row r="1768" spans="2:7" ht="27.6" outlineLevel="3" x14ac:dyDescent="0.3">
      <c r="B1768" s="44">
        <v>5.26</v>
      </c>
      <c r="C1768" s="38" t="s">
        <v>2044</v>
      </c>
      <c r="D1768" s="17">
        <v>3</v>
      </c>
      <c r="E1768" s="18" t="s">
        <v>945</v>
      </c>
      <c r="F1768" s="39"/>
      <c r="G1768" s="28">
        <f t="shared" si="77"/>
        <v>0</v>
      </c>
    </row>
    <row r="1769" spans="2:7" ht="41.4" outlineLevel="3" x14ac:dyDescent="0.3">
      <c r="B1769" s="44">
        <v>5.27</v>
      </c>
      <c r="C1769" s="38" t="s">
        <v>2212</v>
      </c>
      <c r="D1769" s="17">
        <v>2</v>
      </c>
      <c r="E1769" s="18" t="s">
        <v>945</v>
      </c>
      <c r="F1769" s="39"/>
      <c r="G1769" s="28">
        <f t="shared" si="77"/>
        <v>0</v>
      </c>
    </row>
    <row r="1770" spans="2:7" ht="55.2" outlineLevel="3" x14ac:dyDescent="0.3">
      <c r="B1770" s="44">
        <v>5.28</v>
      </c>
      <c r="C1770" s="38" t="s">
        <v>2213</v>
      </c>
      <c r="D1770" s="17">
        <v>1</v>
      </c>
      <c r="E1770" s="18" t="s">
        <v>945</v>
      </c>
      <c r="F1770" s="39"/>
      <c r="G1770" s="28">
        <f t="shared" si="77"/>
        <v>0</v>
      </c>
    </row>
    <row r="1771" spans="2:7" ht="27.6" outlineLevel="3" x14ac:dyDescent="0.3">
      <c r="B1771" s="44">
        <v>5.28</v>
      </c>
      <c r="C1771" s="38" t="s">
        <v>2214</v>
      </c>
      <c r="D1771" s="17">
        <v>19.14</v>
      </c>
      <c r="E1771" s="18" t="s">
        <v>10</v>
      </c>
      <c r="F1771" s="39"/>
      <c r="G1771" s="28">
        <f t="shared" si="77"/>
        <v>0</v>
      </c>
    </row>
    <row r="1772" spans="2:7" ht="27.6" outlineLevel="3" x14ac:dyDescent="0.3">
      <c r="B1772" s="44">
        <v>5.29</v>
      </c>
      <c r="C1772" s="38" t="s">
        <v>2046</v>
      </c>
      <c r="D1772" s="17">
        <v>7</v>
      </c>
      <c r="E1772" s="18" t="s">
        <v>581</v>
      </c>
      <c r="F1772" s="39"/>
      <c r="G1772" s="28">
        <f t="shared" si="77"/>
        <v>0</v>
      </c>
    </row>
    <row r="1773" spans="2:7" ht="69" outlineLevel="3" x14ac:dyDescent="0.3">
      <c r="B1773" s="44" t="s">
        <v>2247</v>
      </c>
      <c r="C1773" s="38" t="s">
        <v>2216</v>
      </c>
      <c r="D1773" s="17">
        <v>5.94</v>
      </c>
      <c r="E1773" s="18" t="s">
        <v>10</v>
      </c>
      <c r="F1773" s="39"/>
      <c r="G1773" s="28">
        <f t="shared" si="77"/>
        <v>0</v>
      </c>
    </row>
    <row r="1774" spans="2:7" ht="55.2" outlineLevel="3" x14ac:dyDescent="0.3">
      <c r="B1774" s="44" t="s">
        <v>2248</v>
      </c>
      <c r="C1774" s="38" t="s">
        <v>2218</v>
      </c>
      <c r="D1774" s="17">
        <v>2.44</v>
      </c>
      <c r="E1774" s="18" t="s">
        <v>10</v>
      </c>
      <c r="F1774" s="39"/>
      <c r="G1774" s="28">
        <f t="shared" si="77"/>
        <v>0</v>
      </c>
    </row>
    <row r="1775" spans="2:7" ht="55.2" outlineLevel="3" x14ac:dyDescent="0.3">
      <c r="B1775" s="44" t="s">
        <v>2249</v>
      </c>
      <c r="C1775" s="38" t="s">
        <v>2250</v>
      </c>
      <c r="D1775" s="17">
        <v>2.86</v>
      </c>
      <c r="E1775" s="18" t="s">
        <v>10</v>
      </c>
      <c r="F1775" s="39"/>
      <c r="G1775" s="28">
        <f t="shared" si="77"/>
        <v>0</v>
      </c>
    </row>
    <row r="1776" spans="2:7" outlineLevel="3" x14ac:dyDescent="0.3">
      <c r="B1776" s="44" t="s">
        <v>2251</v>
      </c>
      <c r="C1776" s="38" t="s">
        <v>2152</v>
      </c>
      <c r="D1776" s="17">
        <v>4</v>
      </c>
      <c r="E1776" s="18" t="s">
        <v>945</v>
      </c>
      <c r="F1776" s="39"/>
      <c r="G1776" s="28">
        <f t="shared" si="77"/>
        <v>0</v>
      </c>
    </row>
    <row r="1777" spans="2:8" outlineLevel="3" x14ac:dyDescent="0.3">
      <c r="B1777" s="44" t="s">
        <v>2252</v>
      </c>
      <c r="C1777" s="38" t="s">
        <v>2052</v>
      </c>
      <c r="D1777" s="17">
        <v>4</v>
      </c>
      <c r="E1777" s="18" t="s">
        <v>945</v>
      </c>
      <c r="F1777" s="39"/>
      <c r="G1777" s="28">
        <f t="shared" si="77"/>
        <v>0</v>
      </c>
    </row>
    <row r="1778" spans="2:8" ht="41.4" outlineLevel="3" x14ac:dyDescent="0.3">
      <c r="B1778" s="44">
        <v>5.3</v>
      </c>
      <c r="C1778" s="38" t="s">
        <v>2253</v>
      </c>
      <c r="D1778" s="17">
        <v>6.82</v>
      </c>
      <c r="E1778" s="18" t="s">
        <v>2161</v>
      </c>
      <c r="F1778" s="39"/>
      <c r="G1778" s="28">
        <f t="shared" si="77"/>
        <v>0</v>
      </c>
    </row>
    <row r="1779" spans="2:8" ht="27.6" outlineLevel="3" x14ac:dyDescent="0.3">
      <c r="B1779" s="44">
        <v>5.31</v>
      </c>
      <c r="C1779" s="38" t="s">
        <v>2254</v>
      </c>
      <c r="D1779" s="17">
        <v>13.61</v>
      </c>
      <c r="E1779" s="18" t="s">
        <v>2161</v>
      </c>
      <c r="F1779" s="39"/>
      <c r="G1779" s="28">
        <f t="shared" si="77"/>
        <v>0</v>
      </c>
    </row>
    <row r="1780" spans="2:8" ht="27.6" outlineLevel="3" x14ac:dyDescent="0.3">
      <c r="B1780" s="44">
        <v>5.32</v>
      </c>
      <c r="C1780" s="38" t="s">
        <v>2255</v>
      </c>
      <c r="D1780" s="17">
        <v>1.97</v>
      </c>
      <c r="E1780" s="18" t="s">
        <v>2161</v>
      </c>
      <c r="F1780" s="39"/>
      <c r="G1780" s="28">
        <f t="shared" si="77"/>
        <v>0</v>
      </c>
    </row>
    <row r="1781" spans="2:8" ht="55.2" outlineLevel="3" x14ac:dyDescent="0.3">
      <c r="B1781" s="44">
        <v>5.33</v>
      </c>
      <c r="C1781" s="38" t="s">
        <v>2256</v>
      </c>
      <c r="D1781" s="17">
        <v>2.4900000000000002</v>
      </c>
      <c r="E1781" s="18" t="s">
        <v>10</v>
      </c>
      <c r="F1781" s="39"/>
      <c r="G1781" s="28">
        <f t="shared" si="77"/>
        <v>0</v>
      </c>
    </row>
    <row r="1782" spans="2:8" ht="27.6" outlineLevel="3" x14ac:dyDescent="0.3">
      <c r="B1782" s="44">
        <v>5.34</v>
      </c>
      <c r="C1782" s="38" t="s">
        <v>2257</v>
      </c>
      <c r="D1782" s="17">
        <v>98.47</v>
      </c>
      <c r="E1782" s="18" t="s">
        <v>10</v>
      </c>
      <c r="F1782" s="39"/>
      <c r="G1782" s="28">
        <f t="shared" si="77"/>
        <v>0</v>
      </c>
    </row>
    <row r="1783" spans="2:8" ht="41.4" outlineLevel="3" x14ac:dyDescent="0.3">
      <c r="B1783" s="44">
        <v>5.35</v>
      </c>
      <c r="C1783" s="38" t="s">
        <v>2258</v>
      </c>
      <c r="D1783" s="17">
        <v>8.8000000000000007</v>
      </c>
      <c r="E1783" s="18" t="s">
        <v>10</v>
      </c>
      <c r="F1783" s="39"/>
      <c r="G1783" s="28">
        <f t="shared" si="77"/>
        <v>0</v>
      </c>
    </row>
    <row r="1784" spans="2:8" ht="69" outlineLevel="3" x14ac:dyDescent="0.3">
      <c r="B1784" s="44">
        <v>5.35</v>
      </c>
      <c r="C1784" s="38" t="s">
        <v>2291</v>
      </c>
      <c r="D1784" s="17">
        <v>1</v>
      </c>
      <c r="E1784" s="18" t="s">
        <v>581</v>
      </c>
      <c r="F1784" s="39"/>
      <c r="G1784" s="28">
        <f t="shared" si="77"/>
        <v>0</v>
      </c>
      <c r="H1784" s="122"/>
    </row>
    <row r="1785" spans="2:8" ht="82.8" outlineLevel="3" x14ac:dyDescent="0.3">
      <c r="B1785" s="44">
        <v>5.36</v>
      </c>
      <c r="C1785" s="38" t="s">
        <v>2259</v>
      </c>
      <c r="D1785" s="17">
        <v>1</v>
      </c>
      <c r="E1785" s="18" t="s">
        <v>581</v>
      </c>
      <c r="F1785" s="39"/>
      <c r="G1785" s="28">
        <f t="shared" si="77"/>
        <v>0</v>
      </c>
      <c r="H1785" s="122"/>
    </row>
    <row r="1786" spans="2:8" ht="41.4" outlineLevel="3" x14ac:dyDescent="0.3">
      <c r="B1786" s="44">
        <v>5.37</v>
      </c>
      <c r="C1786" s="38" t="s">
        <v>2260</v>
      </c>
      <c r="D1786" s="17">
        <v>1</v>
      </c>
      <c r="E1786" s="18" t="s">
        <v>3</v>
      </c>
      <c r="F1786" s="39"/>
      <c r="G1786" s="28">
        <f t="shared" si="77"/>
        <v>0</v>
      </c>
    </row>
    <row r="1787" spans="2:8" ht="41.4" outlineLevel="3" x14ac:dyDescent="0.3">
      <c r="B1787" s="44">
        <v>5.38</v>
      </c>
      <c r="C1787" s="38" t="s">
        <v>2261</v>
      </c>
      <c r="D1787" s="17">
        <v>1</v>
      </c>
      <c r="E1787" s="18" t="s">
        <v>3</v>
      </c>
      <c r="F1787" s="39"/>
      <c r="G1787" s="28">
        <f t="shared" si="77"/>
        <v>0</v>
      </c>
    </row>
    <row r="1788" spans="2:8" ht="41.4" outlineLevel="3" x14ac:dyDescent="0.3">
      <c r="B1788" s="44">
        <v>5.39</v>
      </c>
      <c r="C1788" s="38" t="s">
        <v>2262</v>
      </c>
      <c r="D1788" s="17">
        <v>9</v>
      </c>
      <c r="E1788" s="18" t="s">
        <v>3</v>
      </c>
      <c r="F1788" s="39"/>
      <c r="G1788" s="28">
        <f t="shared" si="77"/>
        <v>0</v>
      </c>
    </row>
    <row r="1789" spans="2:8" outlineLevel="3" x14ac:dyDescent="0.3">
      <c r="B1789" s="44"/>
      <c r="C1789" s="38"/>
      <c r="D1789" s="17"/>
      <c r="E1789" s="18"/>
      <c r="F1789" s="39"/>
      <c r="G1789" s="20"/>
    </row>
    <row r="1790" spans="2:8" outlineLevel="2" x14ac:dyDescent="0.3">
      <c r="B1790" s="44"/>
      <c r="C1790" s="38"/>
      <c r="D1790" s="17"/>
      <c r="E1790" s="18"/>
      <c r="F1790" s="39"/>
      <c r="G1790" s="20"/>
    </row>
    <row r="1791" spans="2:8" outlineLevel="1" x14ac:dyDescent="0.3">
      <c r="B1791" s="103">
        <v>4.0999999999999996</v>
      </c>
      <c r="C1791" s="22" t="s">
        <v>2279</v>
      </c>
      <c r="D1791" s="23"/>
      <c r="E1791" s="24"/>
      <c r="F1791" s="25"/>
      <c r="G1791" s="26">
        <f>+SUBTOTAL(9,G1792:G1796)</f>
        <v>0</v>
      </c>
    </row>
    <row r="1792" spans="2:8" ht="55.2" outlineLevel="2" x14ac:dyDescent="0.3">
      <c r="B1792" s="44">
        <v>1.1000000000000001</v>
      </c>
      <c r="C1792" s="38" t="s">
        <v>2275</v>
      </c>
      <c r="D1792" s="17">
        <v>14</v>
      </c>
      <c r="E1792" s="18" t="s">
        <v>3</v>
      </c>
      <c r="F1792" s="39"/>
      <c r="G1792" s="28">
        <f t="shared" ref="G1792:G1795" si="78">ROUNDUP(D1792*F1792,2)</f>
        <v>0</v>
      </c>
    </row>
    <row r="1793" spans="2:19" ht="55.2" outlineLevel="2" x14ac:dyDescent="0.3">
      <c r="B1793" s="44">
        <v>1.1000000000000001</v>
      </c>
      <c r="C1793" s="38" t="s">
        <v>2276</v>
      </c>
      <c r="D1793" s="17">
        <v>75</v>
      </c>
      <c r="E1793" s="18" t="s">
        <v>3</v>
      </c>
      <c r="F1793" s="39"/>
      <c r="G1793" s="28">
        <f t="shared" si="78"/>
        <v>0</v>
      </c>
    </row>
    <row r="1794" spans="2:19" ht="55.2" outlineLevel="2" x14ac:dyDescent="0.3">
      <c r="B1794" s="44">
        <v>1.1000000000000001</v>
      </c>
      <c r="C1794" s="38" t="s">
        <v>2277</v>
      </c>
      <c r="D1794" s="17">
        <v>138</v>
      </c>
      <c r="E1794" s="18" t="s">
        <v>3</v>
      </c>
      <c r="F1794" s="39"/>
      <c r="G1794" s="28">
        <f t="shared" si="78"/>
        <v>0</v>
      </c>
    </row>
    <row r="1795" spans="2:19" ht="41.4" outlineLevel="2" x14ac:dyDescent="0.3">
      <c r="B1795" s="44">
        <v>1.1000000000000001</v>
      </c>
      <c r="C1795" s="38" t="s">
        <v>2278</v>
      </c>
      <c r="D1795" s="17">
        <v>210</v>
      </c>
      <c r="E1795" s="18" t="s">
        <v>3</v>
      </c>
      <c r="F1795" s="39"/>
      <c r="G1795" s="28">
        <f t="shared" si="78"/>
        <v>0</v>
      </c>
    </row>
    <row r="1796" spans="2:19" outlineLevel="2" x14ac:dyDescent="0.3">
      <c r="B1796" s="111"/>
      <c r="C1796" s="112"/>
      <c r="D1796" s="106"/>
      <c r="E1796" s="107"/>
      <c r="F1796" s="113"/>
      <c r="G1796" s="109"/>
    </row>
    <row r="1797" spans="2:19" ht="15" outlineLevel="1" thickBot="1" x14ac:dyDescent="0.35">
      <c r="B1797" s="104"/>
      <c r="C1797" s="105"/>
      <c r="D1797" s="106"/>
      <c r="E1797" s="107"/>
      <c r="F1797" s="108"/>
      <c r="G1797" s="109"/>
    </row>
    <row r="1798" spans="2:19" s="2" customFormat="1" ht="18.45" customHeight="1" thickBot="1" x14ac:dyDescent="0.35">
      <c r="B1798" s="153" t="s">
        <v>620</v>
      </c>
      <c r="C1798" s="154"/>
      <c r="D1798" s="155"/>
      <c r="E1798" s="156"/>
      <c r="F1798" s="157"/>
      <c r="G1798" s="110">
        <f>+SUBTOTAL(9,G14:G1797)</f>
        <v>0</v>
      </c>
      <c r="L1798" s="121"/>
    </row>
    <row r="1799" spans="2:19" s="2" customFormat="1" ht="13.5" customHeight="1" x14ac:dyDescent="0.3">
      <c r="B1799" s="71"/>
      <c r="C1799" s="72"/>
      <c r="D1799" s="73"/>
      <c r="E1799" s="74"/>
      <c r="F1799" s="73"/>
      <c r="G1799" s="75"/>
    </row>
    <row r="1800" spans="2:19" ht="24" customHeight="1" x14ac:dyDescent="0.3">
      <c r="B1800" s="76"/>
      <c r="C1800" s="77"/>
      <c r="D1800" s="78"/>
      <c r="E1800" s="79"/>
      <c r="F1800" s="80"/>
      <c r="G1800" s="60"/>
    </row>
    <row r="1801" spans="2:19" s="1" customFormat="1" ht="32.25" customHeight="1" x14ac:dyDescent="0.25">
      <c r="B1801" s="71"/>
      <c r="C1801" s="98" t="s">
        <v>621</v>
      </c>
      <c r="D1801" s="99"/>
      <c r="E1801" s="100"/>
      <c r="F1801" s="101">
        <f>SUM(F1802:F1809)</f>
        <v>0</v>
      </c>
      <c r="G1801" s="81"/>
    </row>
    <row r="1802" spans="2:19" s="1" customFormat="1" ht="31.5" customHeight="1" x14ac:dyDescent="0.3">
      <c r="B1802" s="82"/>
      <c r="C1802" s="16" t="s">
        <v>622</v>
      </c>
      <c r="D1802" s="83">
        <v>0.01</v>
      </c>
      <c r="E1802" s="18"/>
      <c r="F1802" s="27">
        <f>+G1798*D1802</f>
        <v>0</v>
      </c>
      <c r="G1802" s="84"/>
    </row>
    <row r="1803" spans="2:19" s="1" customFormat="1" ht="24" customHeight="1" x14ac:dyDescent="0.3">
      <c r="B1803" s="82"/>
      <c r="C1803" s="16" t="s">
        <v>623</v>
      </c>
      <c r="D1803" s="83">
        <v>0.02</v>
      </c>
      <c r="E1803" s="18"/>
      <c r="F1803" s="27">
        <f>+G1798*D1803</f>
        <v>0</v>
      </c>
      <c r="G1803" s="84"/>
    </row>
    <row r="1804" spans="2:19" s="1" customFormat="1" ht="24" customHeight="1" x14ac:dyDescent="0.3">
      <c r="B1804" s="82"/>
      <c r="C1804" s="16" t="s">
        <v>624</v>
      </c>
      <c r="D1804" s="83">
        <v>0.02</v>
      </c>
      <c r="E1804" s="18"/>
      <c r="F1804" s="27">
        <f>+G1798*D1804</f>
        <v>0</v>
      </c>
      <c r="G1804" s="84"/>
    </row>
    <row r="1805" spans="2:19" s="1" customFormat="1" ht="24" customHeight="1" x14ac:dyDescent="0.3">
      <c r="B1805" s="82"/>
      <c r="C1805" s="16" t="s">
        <v>625</v>
      </c>
      <c r="D1805" s="83">
        <v>0.03</v>
      </c>
      <c r="E1805" s="18"/>
      <c r="F1805" s="27">
        <f>+G1798*D1805</f>
        <v>0</v>
      </c>
      <c r="G1805" s="84"/>
      <c r="S1805" s="114"/>
    </row>
    <row r="1806" spans="2:19" s="1" customFormat="1" ht="24" customHeight="1" x14ac:dyDescent="0.3">
      <c r="B1806" s="82"/>
      <c r="C1806" s="16" t="s">
        <v>626</v>
      </c>
      <c r="D1806" s="83">
        <v>0.1</v>
      </c>
      <c r="E1806" s="18"/>
      <c r="F1806" s="27">
        <f>+G1798*D1806</f>
        <v>0</v>
      </c>
      <c r="G1806" s="84"/>
      <c r="S1806"/>
    </row>
    <row r="1807" spans="2:19" s="1" customFormat="1" ht="24" customHeight="1" x14ac:dyDescent="0.3">
      <c r="B1807" s="82"/>
      <c r="C1807" s="16" t="s">
        <v>2281</v>
      </c>
      <c r="D1807" s="83">
        <v>0.05</v>
      </c>
      <c r="E1807" s="18"/>
      <c r="F1807" s="27">
        <f>+G1798*D1807</f>
        <v>0</v>
      </c>
      <c r="G1807" s="84"/>
      <c r="S1807"/>
    </row>
    <row r="1808" spans="2:19" s="1" customFormat="1" ht="24" customHeight="1" x14ac:dyDescent="0.3">
      <c r="B1808" s="82"/>
      <c r="C1808" s="16" t="s">
        <v>627</v>
      </c>
      <c r="D1808" s="83">
        <v>1E-3</v>
      </c>
      <c r="E1808" s="18"/>
      <c r="F1808" s="27">
        <f>+G1798*D1808</f>
        <v>0</v>
      </c>
      <c r="G1808" s="84"/>
      <c r="J1808" s="116"/>
      <c r="K1808" s="116"/>
      <c r="L1808" s="116"/>
      <c r="M1808" s="116"/>
      <c r="N1808" s="116"/>
      <c r="O1808" s="116"/>
      <c r="S1808" s="114"/>
    </row>
    <row r="1809" spans="2:19" ht="34.5" customHeight="1" x14ac:dyDescent="0.3">
      <c r="B1809" s="82"/>
      <c r="C1809" s="16" t="s">
        <v>628</v>
      </c>
      <c r="D1809" s="83">
        <v>0.02</v>
      </c>
      <c r="E1809" s="18"/>
      <c r="F1809" s="27">
        <f>+G1798*D1809</f>
        <v>0</v>
      </c>
      <c r="G1809" s="84"/>
      <c r="J1809" s="117"/>
      <c r="K1809" s="117"/>
      <c r="L1809" s="117"/>
      <c r="M1809" s="117"/>
      <c r="N1809" s="117"/>
      <c r="O1809" s="117"/>
      <c r="S1809" s="114"/>
    </row>
    <row r="1810" spans="2:19" ht="34.5" customHeight="1" x14ac:dyDescent="0.3">
      <c r="B1810" s="82"/>
      <c r="C1810" s="85" t="s">
        <v>629</v>
      </c>
      <c r="D1810" s="83"/>
      <c r="E1810" s="18"/>
      <c r="F1810" s="86">
        <f>SUM(F1802:F1809)+G1798</f>
        <v>0</v>
      </c>
      <c r="G1810" s="81"/>
      <c r="J1810" s="117"/>
      <c r="K1810" s="117"/>
      <c r="L1810" s="117"/>
      <c r="M1810" s="117"/>
      <c r="N1810" s="117"/>
      <c r="O1810" s="117"/>
      <c r="S1810" s="114"/>
    </row>
    <row r="1811" spans="2:19" ht="30" customHeight="1" x14ac:dyDescent="0.3">
      <c r="B1811" s="82"/>
      <c r="C1811" s="16" t="s">
        <v>630</v>
      </c>
      <c r="D1811" s="83">
        <v>1.7999999999999999E-2</v>
      </c>
      <c r="E1811" s="18"/>
      <c r="F1811" s="27">
        <f>+F1810*D1811</f>
        <v>0</v>
      </c>
      <c r="G1811" s="87"/>
      <c r="O1811" s="115"/>
      <c r="S1811" s="114"/>
    </row>
    <row r="1812" spans="2:19" ht="24" customHeight="1" x14ac:dyDescent="0.3">
      <c r="B1812" s="82"/>
      <c r="C1812" s="88"/>
      <c r="D1812" s="89"/>
      <c r="E1812" s="90"/>
      <c r="F1812" s="91"/>
      <c r="G1812" s="81"/>
      <c r="O1812" s="115"/>
    </row>
    <row r="1813" spans="2:19" ht="15.6" x14ac:dyDescent="0.3">
      <c r="B1813" s="71"/>
      <c r="C1813" s="126" t="s">
        <v>631</v>
      </c>
      <c r="D1813" s="127"/>
      <c r="E1813" s="128"/>
      <c r="F1813" s="102">
        <f>SUM(F1810:F1811)</f>
        <v>0</v>
      </c>
      <c r="G1813" s="81"/>
      <c r="H1813" s="115"/>
      <c r="L1813" s="115"/>
    </row>
    <row r="1814" spans="2:19" x14ac:dyDescent="0.3">
      <c r="B1814" s="92"/>
      <c r="C1814" s="93"/>
      <c r="D1814" s="93"/>
      <c r="E1814" s="93"/>
      <c r="F1814" s="93"/>
      <c r="G1814" s="81"/>
      <c r="J1814" s="118"/>
    </row>
    <row r="1815" spans="2:19" ht="15.6" x14ac:dyDescent="0.3">
      <c r="B1815" s="94" t="s">
        <v>576</v>
      </c>
      <c r="C1815" s="93"/>
      <c r="D1815" s="93"/>
      <c r="E1815" s="93"/>
      <c r="F1815" s="93"/>
      <c r="G1815" s="81"/>
    </row>
    <row r="1816" spans="2:19" ht="35.25" customHeight="1" x14ac:dyDescent="0.3">
      <c r="B1816" s="92"/>
      <c r="C1816" s="93"/>
      <c r="D1816" s="93"/>
      <c r="E1816" s="93"/>
      <c r="F1816" s="119"/>
    </row>
    <row r="1817" spans="2:19" ht="17.399999999999999" x14ac:dyDescent="0.3">
      <c r="B1817" s="123" t="s">
        <v>632</v>
      </c>
      <c r="C1817" s="124"/>
      <c r="D1817" s="124"/>
      <c r="E1817" s="124"/>
      <c r="F1817" s="124"/>
      <c r="G1817" s="125"/>
    </row>
    <row r="1818" spans="2:19" ht="17.399999999999999" x14ac:dyDescent="0.3">
      <c r="B1818" s="123" t="s">
        <v>2292</v>
      </c>
      <c r="C1818" s="124"/>
      <c r="D1818" s="124"/>
      <c r="E1818" s="124"/>
      <c r="F1818" s="124"/>
      <c r="G1818" s="125"/>
    </row>
    <row r="1819" spans="2:19" ht="17.399999999999999" x14ac:dyDescent="0.3">
      <c r="B1819" s="123" t="s">
        <v>633</v>
      </c>
      <c r="C1819" s="124"/>
      <c r="D1819" s="124"/>
      <c r="E1819" s="124"/>
      <c r="F1819" s="124"/>
      <c r="G1819" s="125"/>
    </row>
    <row r="1820" spans="2:19" ht="17.399999999999999" x14ac:dyDescent="0.3">
      <c r="B1820" s="123" t="s">
        <v>634</v>
      </c>
      <c r="C1820" s="124"/>
      <c r="D1820" s="124"/>
      <c r="E1820" s="124"/>
      <c r="F1820" s="124"/>
      <c r="G1820" s="125"/>
    </row>
    <row r="1821" spans="2:19" ht="17.399999999999999" x14ac:dyDescent="0.3">
      <c r="B1821" s="123" t="s">
        <v>635</v>
      </c>
      <c r="C1821" s="124"/>
      <c r="D1821" s="124"/>
      <c r="E1821" s="124"/>
      <c r="F1821" s="124"/>
      <c r="G1821" s="125"/>
    </row>
    <row r="1822" spans="2:19" x14ac:dyDescent="0.3">
      <c r="B1822" s="95"/>
      <c r="C1822" s="96"/>
      <c r="D1822" s="96"/>
      <c r="E1822" s="96"/>
      <c r="F1822" s="96"/>
      <c r="G1822" s="97"/>
    </row>
  </sheetData>
  <autoFilter ref="B13:H1797" xr:uid="{83A27EA4-583F-4329-9030-A3E86B9A61A3}"/>
  <mergeCells count="17">
    <mergeCell ref="C1813:E1813"/>
    <mergeCell ref="B2:G2"/>
    <mergeCell ref="B3:G3"/>
    <mergeCell ref="B4:G4"/>
    <mergeCell ref="B5:G5"/>
    <mergeCell ref="B6:G6"/>
    <mergeCell ref="B8:G8"/>
    <mergeCell ref="B9:G9"/>
    <mergeCell ref="B10:G10"/>
    <mergeCell ref="B11:G12"/>
    <mergeCell ref="B1798:D1798"/>
    <mergeCell ref="E1798:F1798"/>
    <mergeCell ref="B1817:G1817"/>
    <mergeCell ref="B1818:G1818"/>
    <mergeCell ref="B1819:G1819"/>
    <mergeCell ref="B1820:G1820"/>
    <mergeCell ref="B1821:G1821"/>
  </mergeCells>
  <printOptions horizontalCentered="1"/>
  <pageMargins left="0.51181102362204722" right="0.51181102362204722" top="0.51181102362204722" bottom="0.51181102362204722" header="0.31496062992125984" footer="0.31496062992125984"/>
  <pageSetup scale="64" orientation="portrait" r:id="rId1"/>
  <headerFooter>
    <oddHeader>&amp;R&amp;P de &amp;N</oddHeader>
  </headerFooter>
  <rowBreaks count="1" manualBreakCount="1">
    <brk id="1796" max="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B270C43-6E2D-4724-8C38-0F0147E9E27A}">
  <ds:schemaRefs>
    <ds:schemaRef ds:uri="http://www.w3.org/2001/XMLSchem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TERM MINERD</vt:lpstr>
      <vt:lpstr>'TERM MINERD'!Print_Area</vt:lpstr>
      <vt:lpstr>'TERM MINERD'!Print_Titles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Horacio</dc:creator>
  <cp:keywords/>
  <dc:description/>
  <cp:lastModifiedBy>CR Vallejo XboxLive</cp:lastModifiedBy>
  <cp:revision/>
  <cp:lastPrinted>2025-12-10T17:53:06Z</cp:lastPrinted>
  <dcterms:created xsi:type="dcterms:W3CDTF">2017-05-18T18:50:52Z</dcterms:created>
  <dcterms:modified xsi:type="dcterms:W3CDTF">2026-01-19T20:08:49Z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lanSwiftJobName">
    <vt:lpwstr/>
  </property>
  <property fmtid="{D5CDD505-2E9C-101B-9397-08002B2CF9AE}" pid="3" name="PlanSwiftJobGuid">
    <vt:lpwstr/>
  </property>
  <property fmtid="{D5CDD505-2E9C-101B-9397-08002B2CF9AE}" pid="4" name="LinkedDataId">
    <vt:lpwstr>{2B270C43-6E2D-4724-8C38-0F0147E9E27A}</vt:lpwstr>
  </property>
</Properties>
</file>